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P:\WEBSITE\FORMS Non-year MISC\"/>
    </mc:Choice>
  </mc:AlternateContent>
  <xr:revisionPtr revIDLastSave="0" documentId="13_ncr:1_{F2BF8D5F-6928-4813-BE6A-32E01778FDA1}" xr6:coauthVersionLast="47" xr6:coauthVersionMax="47" xr10:uidLastSave="{00000000-0000-0000-0000-000000000000}"/>
  <workbookProtection workbookAlgorithmName="SHA-512" workbookHashValue="Ogfgqd1GWHD9+nCrts3WJ6fSbKGCfNdl4JWEVu4sTmHo3u4XPBNP1fKPWr/J6TycOKZ6UrCvdJLEYihEneopLQ==" workbookSaltValue="i7YTR/tdqjuvbaWaFOgYKQ==" workbookSpinCount="100000" lockStructure="1"/>
  <bookViews>
    <workbookView xWindow="-120" yWindow="-120" windowWidth="21840" windowHeight="13140" xr2:uid="{00000000-000D-0000-FFFF-FFFF00000000}"/>
  </bookViews>
  <sheets>
    <sheet name="BillEstimator" sheetId="1" r:id="rId1"/>
    <sheet name="Validation" sheetId="2" state="hidden" r:id="rId2"/>
  </sheets>
  <definedNames>
    <definedName name="_xlnm.Print_Area" localSheetId="0">BillEstimator!$C$3:$H$59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9" i="1" l="1"/>
  <c r="B72" i="2"/>
  <c r="B69" i="2"/>
  <c r="B70" i="2" s="1"/>
  <c r="B67" i="2"/>
  <c r="I64" i="2" l="1"/>
  <c r="I43" i="2" s="1"/>
  <c r="H40" i="1" l="1"/>
  <c r="N38" i="1" l="1"/>
  <c r="K19" i="1"/>
  <c r="K17" i="1" l="1"/>
  <c r="N15" i="1"/>
  <c r="K15" i="1" l="1"/>
  <c r="B44" i="2" l="1"/>
  <c r="B43" i="2"/>
  <c r="G74" i="2"/>
  <c r="G75" i="2" s="1"/>
  <c r="G72" i="2"/>
  <c r="G69" i="2"/>
  <c r="G70" i="2" s="1"/>
  <c r="G66" i="2"/>
  <c r="G67" i="2" s="1"/>
  <c r="C72" i="2"/>
  <c r="C73" i="2" s="1"/>
  <c r="C74" i="2" s="1"/>
  <c r="C75" i="2" s="1"/>
  <c r="C69" i="2"/>
  <c r="C70" i="2" s="1"/>
  <c r="C67" i="2"/>
  <c r="C66" i="2"/>
  <c r="B74" i="2"/>
  <c r="B75" i="2" s="1"/>
  <c r="B66" i="2"/>
  <c r="F20" i="2" l="1"/>
  <c r="F19" i="2"/>
  <c r="D31" i="1" l="1"/>
  <c r="C22" i="1" l="1"/>
  <c r="N73" i="2" l="1"/>
  <c r="N75" i="2" l="1"/>
  <c r="J75" i="2"/>
  <c r="I75" i="2"/>
  <c r="N74" i="2"/>
  <c r="J74" i="2"/>
  <c r="I74" i="2"/>
  <c r="J73" i="2"/>
  <c r="I73" i="2"/>
  <c r="N72" i="2"/>
  <c r="J72" i="2"/>
  <c r="I72" i="2"/>
  <c r="N71" i="2"/>
  <c r="N50" i="2" s="1"/>
  <c r="J71" i="2"/>
  <c r="I71" i="2"/>
  <c r="N70" i="2"/>
  <c r="J70" i="2"/>
  <c r="I70" i="2"/>
  <c r="N69" i="2"/>
  <c r="J69" i="2"/>
  <c r="I69" i="2"/>
  <c r="N68" i="2"/>
  <c r="J68" i="2"/>
  <c r="I68" i="2"/>
  <c r="N67" i="2"/>
  <c r="J67" i="2"/>
  <c r="I67" i="2"/>
  <c r="N66" i="2"/>
  <c r="J66" i="2"/>
  <c r="I66" i="2"/>
  <c r="N65" i="2"/>
  <c r="J65" i="2"/>
  <c r="I65" i="2"/>
  <c r="N64" i="2"/>
  <c r="J64" i="2"/>
  <c r="A66" i="2" l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I44" i="2" l="1"/>
  <c r="J44" i="2"/>
  <c r="K44" i="2"/>
  <c r="L44" i="2"/>
  <c r="M44" i="2"/>
  <c r="N44" i="2"/>
  <c r="I45" i="2"/>
  <c r="J45" i="2"/>
  <c r="K45" i="2"/>
  <c r="L45" i="2"/>
  <c r="M45" i="2"/>
  <c r="N45" i="2"/>
  <c r="I46" i="2"/>
  <c r="J46" i="2"/>
  <c r="K46" i="2"/>
  <c r="L46" i="2"/>
  <c r="M46" i="2"/>
  <c r="N46" i="2"/>
  <c r="I47" i="2"/>
  <c r="J47" i="2"/>
  <c r="K47" i="2"/>
  <c r="L47" i="2"/>
  <c r="M47" i="2"/>
  <c r="N47" i="2"/>
  <c r="I48" i="2"/>
  <c r="J48" i="2"/>
  <c r="K48" i="2"/>
  <c r="L48" i="2"/>
  <c r="M48" i="2"/>
  <c r="N48" i="2"/>
  <c r="I49" i="2"/>
  <c r="J49" i="2"/>
  <c r="K49" i="2"/>
  <c r="L49" i="2"/>
  <c r="M49" i="2"/>
  <c r="N49" i="2"/>
  <c r="I50" i="2"/>
  <c r="J50" i="2"/>
  <c r="K50" i="2"/>
  <c r="L50" i="2"/>
  <c r="M50" i="2"/>
  <c r="I51" i="2"/>
  <c r="J51" i="2"/>
  <c r="K51" i="2"/>
  <c r="L51" i="2"/>
  <c r="M51" i="2"/>
  <c r="N51" i="2"/>
  <c r="I52" i="2"/>
  <c r="J52" i="2"/>
  <c r="K52" i="2"/>
  <c r="L52" i="2"/>
  <c r="M52" i="2"/>
  <c r="N52" i="2"/>
  <c r="I53" i="2"/>
  <c r="J53" i="2"/>
  <c r="K53" i="2"/>
  <c r="L53" i="2"/>
  <c r="M53" i="2"/>
  <c r="N53" i="2"/>
  <c r="I54" i="2"/>
  <c r="J54" i="2"/>
  <c r="K54" i="2"/>
  <c r="L54" i="2"/>
  <c r="M54" i="2"/>
  <c r="N54" i="2"/>
  <c r="I55" i="2"/>
  <c r="J55" i="2"/>
  <c r="K55" i="2"/>
  <c r="L55" i="2"/>
  <c r="M55" i="2"/>
  <c r="N55" i="2"/>
  <c r="J43" i="2"/>
  <c r="K43" i="2"/>
  <c r="L43" i="2"/>
  <c r="M43" i="2"/>
  <c r="N43" i="2"/>
  <c r="A59" i="2" l="1"/>
  <c r="A58" i="2"/>
  <c r="B58" i="2" s="1"/>
  <c r="C58" i="2" s="1"/>
  <c r="A45" i="2"/>
  <c r="A46" i="2" l="1"/>
  <c r="B45" i="2"/>
  <c r="N32" i="1"/>
  <c r="A47" i="2" l="1"/>
  <c r="B46" i="2"/>
  <c r="N25" i="1"/>
  <c r="N26" i="1"/>
  <c r="N28" i="1"/>
  <c r="N29" i="1"/>
  <c r="N30" i="1"/>
  <c r="A48" i="2" l="1"/>
  <c r="B47" i="2"/>
  <c r="D30" i="1"/>
  <c r="A49" i="2" l="1"/>
  <c r="B48" i="2"/>
  <c r="C36" i="2"/>
  <c r="B36" i="2"/>
  <c r="C32" i="2"/>
  <c r="B32" i="2"/>
  <c r="A50" i="2" l="1"/>
  <c r="B49" i="2"/>
  <c r="G5" i="2"/>
  <c r="A51" i="2" l="1"/>
  <c r="B50" i="2"/>
  <c r="G6" i="2"/>
  <c r="D28" i="1"/>
  <c r="K13" i="1"/>
  <c r="A52" i="2" l="1"/>
  <c r="B51" i="2"/>
  <c r="G7" i="2"/>
  <c r="D25" i="1"/>
  <c r="D26" i="1"/>
  <c r="A53" i="2" l="1"/>
  <c r="B52" i="2"/>
  <c r="D52" i="2" s="1"/>
  <c r="G8" i="2"/>
  <c r="D44" i="2"/>
  <c r="F44" i="2"/>
  <c r="H44" i="2"/>
  <c r="E44" i="2"/>
  <c r="G44" i="2"/>
  <c r="C44" i="2"/>
  <c r="E47" i="2"/>
  <c r="G47" i="2"/>
  <c r="D47" i="2"/>
  <c r="F47" i="2"/>
  <c r="H47" i="2"/>
  <c r="C47" i="2"/>
  <c r="E49" i="2"/>
  <c r="G49" i="2"/>
  <c r="D49" i="2"/>
  <c r="F49" i="2"/>
  <c r="H49" i="2"/>
  <c r="C49" i="2"/>
  <c r="E45" i="2"/>
  <c r="G45" i="2"/>
  <c r="D45" i="2"/>
  <c r="F45" i="2"/>
  <c r="H45" i="2"/>
  <c r="C45" i="2"/>
  <c r="D50" i="2"/>
  <c r="F50" i="2"/>
  <c r="H50" i="2"/>
  <c r="C50" i="2"/>
  <c r="E50" i="2"/>
  <c r="G50" i="2"/>
  <c r="D46" i="2"/>
  <c r="F46" i="2"/>
  <c r="H46" i="2"/>
  <c r="C46" i="2"/>
  <c r="E46" i="2"/>
  <c r="G46" i="2"/>
  <c r="E51" i="2"/>
  <c r="G51" i="2"/>
  <c r="D51" i="2"/>
  <c r="F51" i="2"/>
  <c r="H51" i="2"/>
  <c r="C51" i="2"/>
  <c r="D43" i="2"/>
  <c r="F43" i="2"/>
  <c r="E43" i="2"/>
  <c r="G43" i="2"/>
  <c r="C43" i="2"/>
  <c r="H43" i="2"/>
  <c r="D48" i="2"/>
  <c r="F48" i="2"/>
  <c r="H48" i="2"/>
  <c r="C48" i="2"/>
  <c r="E48" i="2"/>
  <c r="G48" i="2"/>
  <c r="H39" i="1" l="1"/>
  <c r="K44" i="1"/>
  <c r="K38" i="1" s="1"/>
  <c r="K40" i="1" s="1"/>
  <c r="G52" i="2"/>
  <c r="C52" i="2"/>
  <c r="H52" i="2"/>
  <c r="F52" i="2"/>
  <c r="E52" i="2"/>
  <c r="A54" i="2"/>
  <c r="B53" i="2"/>
  <c r="G9" i="2"/>
  <c r="H38" i="1" l="1"/>
  <c r="E53" i="2"/>
  <c r="H53" i="2"/>
  <c r="G53" i="2"/>
  <c r="C53" i="2"/>
  <c r="D53" i="2"/>
  <c r="F53" i="2"/>
  <c r="A55" i="2"/>
  <c r="B55" i="2" s="1"/>
  <c r="B54" i="2"/>
  <c r="G10" i="2"/>
  <c r="H42" i="1" l="1"/>
  <c r="K26" i="1" s="1"/>
  <c r="K25" i="1"/>
  <c r="H54" i="2"/>
  <c r="C54" i="2"/>
  <c r="D54" i="2"/>
  <c r="E54" i="2"/>
  <c r="F54" i="2"/>
  <c r="G54" i="2"/>
  <c r="E55" i="2"/>
  <c r="F55" i="2"/>
  <c r="G55" i="2"/>
  <c r="H55" i="2"/>
  <c r="C55" i="2"/>
  <c r="D55" i="2"/>
  <c r="G11" i="2"/>
  <c r="F47" i="1" l="1"/>
  <c r="K27" i="1"/>
  <c r="K29" i="1" s="1"/>
  <c r="K30" i="1" s="1"/>
  <c r="K42" i="1"/>
  <c r="G12" i="2"/>
  <c r="K28" i="1" l="1"/>
  <c r="D29" i="1" s="1"/>
  <c r="D42" i="1" s="1"/>
  <c r="F46" i="1" s="1"/>
  <c r="F49" i="1" s="1"/>
  <c r="D49" i="1" s="1"/>
  <c r="G13" i="2"/>
  <c r="G1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vukmancm</author>
  </authors>
  <commentList>
    <comment ref="F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Pell: </t>
        </r>
        <r>
          <rPr>
            <sz val="9"/>
            <color indexed="81"/>
            <rFont val="Tahoma"/>
            <family val="2"/>
          </rPr>
          <t xml:space="preserve"> Undergraduate only; working on 1st bachelor's degree.  Eligibility based on FAFSA.  Can receive if attending less than 12 credits.</t>
        </r>
      </text>
    </comment>
    <comment ref="F2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SEOG:  </t>
        </r>
        <r>
          <rPr>
            <sz val="9"/>
            <color indexed="81"/>
            <rFont val="Tahoma"/>
            <family val="2"/>
          </rPr>
          <t>Undergraduate only; must also be eligible for the Pell grant.  Must file FAFSA.</t>
        </r>
      </text>
    </comment>
    <comment ref="F2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TEACH:  </t>
        </r>
        <r>
          <rPr>
            <sz val="9"/>
            <color indexed="81"/>
            <rFont val="Tahoma"/>
            <family val="2"/>
          </rPr>
          <t>FAFSA, Agreement to Serve and Counseling required; eligible to specific teaching majors; GPA requirements.</t>
        </r>
      </text>
    </comment>
    <comment ref="F2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NYS TAP</t>
        </r>
        <r>
          <rPr>
            <sz val="9"/>
            <color indexed="81"/>
            <rFont val="Tahoma"/>
            <family val="2"/>
          </rPr>
          <t xml:space="preserve">:  Must complete FAFSA and TAP Application. Must be 6 or more credits.
</t>
        </r>
      </text>
    </comment>
    <comment ref="F2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SUNYTC:  </t>
        </r>
        <r>
          <rPr>
            <sz val="9"/>
            <color indexed="81"/>
            <rFont val="Tahoma"/>
            <family val="2"/>
          </rPr>
          <t>Available to students eligible for a TAP grant.</t>
        </r>
      </text>
    </comment>
    <comment ref="F3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APTS</t>
        </r>
        <r>
          <rPr>
            <sz val="9"/>
            <color indexed="81"/>
            <rFont val="Tahoma"/>
            <family val="2"/>
          </rPr>
          <t xml:space="preserve">:  Separate application required.  Must file FAFSA and TAP application; must be part-time.
</t>
        </r>
      </text>
    </comment>
    <comment ref="F3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EOP Grant</t>
        </r>
        <r>
          <rPr>
            <sz val="9"/>
            <color indexed="81"/>
            <rFont val="Tahoma"/>
            <family val="2"/>
          </rPr>
          <t xml:space="preserve">:  For students admitted through EOP.
</t>
        </r>
      </text>
    </comment>
    <comment ref="F3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Subsidized Loan:</t>
        </r>
        <r>
          <rPr>
            <sz val="9"/>
            <color indexed="81"/>
            <rFont val="Tahoma"/>
            <family val="2"/>
          </rPr>
          <t xml:space="preserve"> FAFSA required; enrolled in at least 6 credits, must complete Entrance Counseling and MPN at www.studentaid.gov.  Actual disbursement is reduced by around 1% due to an origination fee, paid to the U.S. Department of Education</t>
        </r>
      </text>
    </comment>
    <comment ref="F3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Unsubsidized Loan: </t>
        </r>
        <r>
          <rPr>
            <sz val="9"/>
            <color indexed="81"/>
            <rFont val="Tahoma"/>
            <family val="2"/>
          </rPr>
          <t xml:space="preserve">FAFSA required; enrolled in at least 6 credits, must complete Entrance Counseling and MPN at www.studentaid.gov.  Actual disbursement is reduced by about 1% due to an origination fee, paid to the U.S. Department of Education.
</t>
        </r>
      </text>
    </comment>
    <comment ref="F34" authorId="0" shapeId="0" xr:uid="{5E157E3B-E695-442B-AC90-CD53B21A2F94}">
      <text>
        <r>
          <rPr>
            <b/>
            <sz val="9"/>
            <color indexed="81"/>
            <rFont val="Tahoma"/>
            <family val="2"/>
          </rPr>
          <t>PLUS:</t>
        </r>
        <r>
          <rPr>
            <sz val="9"/>
            <color indexed="81"/>
            <rFont val="Tahoma"/>
            <family val="2"/>
          </rPr>
          <t xml:space="preserve">  FAFSA and separate loan application required.  Apply at www.studentaid.gov.</t>
        </r>
      </text>
    </comment>
    <comment ref="F3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Other Loans:</t>
        </r>
        <r>
          <rPr>
            <sz val="9"/>
            <color indexed="81"/>
            <rFont val="Tahoma"/>
            <family val="2"/>
          </rPr>
          <t xml:space="preserve">  Enter other loans, such as private loans, here.  Separate applications and credit check will be required.</t>
        </r>
      </text>
    </comment>
    <comment ref="F36" authorId="0" shapeId="0" xr:uid="{E8F0B6EA-40AC-4071-B9C2-4A7099CCD000}">
      <text>
        <r>
          <rPr>
            <b/>
            <sz val="9"/>
            <color indexed="81"/>
            <rFont val="Tahoma"/>
            <family val="2"/>
          </rPr>
          <t xml:space="preserve">Non-Tuition Grants and Scholarships.  </t>
        </r>
        <r>
          <rPr>
            <sz val="9"/>
            <color indexed="81"/>
            <rFont val="Tahoma"/>
            <family val="2"/>
          </rPr>
          <t>Enter the value of all scholarships which specifically state that the funds are not to be used for tuition. Examples: President Honors, President's Scholars, Provost's Scholars, Dean's Scholars, Orange &amp; Black, Phi Theta Kappa, and Transfer Scholarship; Room and board waivers for RAs.</t>
        </r>
      </text>
    </comment>
    <comment ref="F37" authorId="0" shapeId="0" xr:uid="{77460876-AC9A-40B0-831E-1F44B9C21C1E}">
      <text>
        <r>
          <rPr>
            <b/>
            <sz val="9"/>
            <color indexed="81"/>
            <rFont val="Tahoma"/>
            <family val="2"/>
          </rPr>
          <t xml:space="preserve">Other Grants &amp; Scholarships: </t>
        </r>
        <r>
          <rPr>
            <sz val="9"/>
            <color indexed="81"/>
            <rFont val="Tahoma"/>
            <family val="2"/>
          </rPr>
          <t xml:space="preserve">Enter other grants/scholarships expected here. Be advised that these awards will most likely reduce a student's Excelsior Grant Eligibility.  Only scholarships that explicitly state that the funds cannot be used toward tuition are excluded from the Excelsior calculation.
</t>
        </r>
      </text>
    </comment>
    <comment ref="F38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NYS Excelsior Scholarship: </t>
        </r>
        <r>
          <rPr>
            <sz val="9"/>
            <color indexed="81"/>
            <rFont val="Tahoma"/>
            <family val="2"/>
          </rPr>
          <t>Undergraduate students only; must be full-time; enroll continuously and on-track to graduate in 4 years. Other income and academic requirements apply. Separate application required. More info: https://www.hesc.ny.gov/excelsior/</t>
        </r>
      </text>
    </comment>
    <comment ref="F39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VA Benefit:</t>
        </r>
        <r>
          <rPr>
            <sz val="9"/>
            <color indexed="81"/>
            <rFont val="Tahoma"/>
            <family val="2"/>
          </rPr>
          <t xml:space="preserve">  Separate application(s) required.  Must be a veteran or dependent of veteran to receive benefits.  Contact the Veteran Office at 716-878-3569 or online at https://inclusion.buffalostate.edu/veterans-and-military-services</t>
        </r>
      </text>
    </comment>
    <comment ref="F40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Origination Fees</t>
        </r>
        <r>
          <rPr>
            <sz val="9"/>
            <color indexed="81"/>
            <rFont val="Tahoma"/>
            <family val="2"/>
          </rPr>
          <t xml:space="preserve"> are deducted upfront from the amount the student and/or parent borrows.  The full loan amount must be repaid including the loan fees.
</t>
        </r>
        <r>
          <rPr>
            <b/>
            <sz val="9"/>
            <color indexed="81"/>
            <rFont val="Tahoma"/>
            <family val="2"/>
          </rPr>
          <t>Subsidized and unsubsidized loans</t>
        </r>
        <r>
          <rPr>
            <sz val="9"/>
            <color indexed="81"/>
            <rFont val="Tahoma"/>
            <family val="2"/>
          </rPr>
          <t xml:space="preserve"> are charged a fee in the amount of 1.057% of the loan total.
</t>
        </r>
        <r>
          <rPr>
            <b/>
            <sz val="9"/>
            <color indexed="81"/>
            <rFont val="Tahoma"/>
            <family val="2"/>
          </rPr>
          <t>PLUS</t>
        </r>
        <r>
          <rPr>
            <sz val="9"/>
            <color indexed="81"/>
            <rFont val="Tahoma"/>
            <family val="2"/>
          </rPr>
          <t xml:space="preserve"> (Grad or Parent) loans are charged a fee in the amount of 4.228% of the loan total.</t>
        </r>
      </text>
    </comment>
  </commentList>
</comments>
</file>

<file path=xl/sharedStrings.xml><?xml version="1.0" encoding="utf-8"?>
<sst xmlns="http://schemas.openxmlformats.org/spreadsheetml/2006/main" count="190" uniqueCount="149">
  <si>
    <t>Residency</t>
  </si>
  <si>
    <t>In-State</t>
  </si>
  <si>
    <t>Out-of-State</t>
  </si>
  <si>
    <t>Off-Campus</t>
  </si>
  <si>
    <t>Student Level</t>
  </si>
  <si>
    <t>Undergraduate</t>
  </si>
  <si>
    <t>Credits</t>
  </si>
  <si>
    <t>12+</t>
  </si>
  <si>
    <t>NYS Residency</t>
  </si>
  <si>
    <t>Meal Plan</t>
  </si>
  <si>
    <t>Tuition</t>
  </si>
  <si>
    <t>Fees</t>
  </si>
  <si>
    <t>Parking</t>
  </si>
  <si>
    <t>Tuition-UG-In</t>
  </si>
  <si>
    <t>Tuition-UG-Out</t>
  </si>
  <si>
    <t>Fees-UG-In</t>
  </si>
  <si>
    <t>Fees-UG-Out</t>
  </si>
  <si>
    <t>Tuition-GR-In</t>
  </si>
  <si>
    <t>Tuition-GR-Out</t>
  </si>
  <si>
    <t>Fees-GR-In</t>
  </si>
  <si>
    <t>Fees-GR-Out</t>
  </si>
  <si>
    <t>Per Credit</t>
  </si>
  <si>
    <t>Full-Time</t>
  </si>
  <si>
    <t>Graduate</t>
  </si>
  <si>
    <t>Housing</t>
  </si>
  <si>
    <t>Meal Plans</t>
  </si>
  <si>
    <t>Health Insurnace</t>
  </si>
  <si>
    <t>No ($0)</t>
  </si>
  <si>
    <t>Parking Permit</t>
  </si>
  <si>
    <t>Yes ($70)</t>
  </si>
  <si>
    <t>Total Billed Charges</t>
  </si>
  <si>
    <t>VA Benefits</t>
  </si>
  <si>
    <t>Total Financial Aid</t>
  </si>
  <si>
    <t>Student Enrollment Profile</t>
  </si>
  <si>
    <t>Other</t>
  </si>
  <si>
    <t>Federal Pell Grant</t>
  </si>
  <si>
    <t>Federal SEOG</t>
  </si>
  <si>
    <t>Federal TEACH Grant</t>
  </si>
  <si>
    <t>NYS Aid for Part-Time Study</t>
  </si>
  <si>
    <t>EOP Grant</t>
  </si>
  <si>
    <t>None ($0)</t>
  </si>
  <si>
    <t>charges</t>
  </si>
  <si>
    <t>aid</t>
  </si>
  <si>
    <t>bal/(refund)</t>
  </si>
  <si>
    <t>Abs value of refund</t>
  </si>
  <si>
    <t>if positive, can have entire book def.</t>
  </si>
  <si>
    <t>Dining Dollars / BB</t>
  </si>
  <si>
    <t>NYS TAP Grant (Estimate)</t>
  </si>
  <si>
    <t>SUNY Tuition Credit (Estimate)</t>
  </si>
  <si>
    <t>Textbook Deferment</t>
  </si>
  <si>
    <t xml:space="preserve"> Total Billed Charges</t>
  </si>
  <si>
    <t xml:space="preserve"> Total Financial Aid</t>
  </si>
  <si>
    <t>Anticipated Balance Due / (Refund) per Semester</t>
  </si>
  <si>
    <t>Loan Origination Fees</t>
  </si>
  <si>
    <t>PLUS</t>
  </si>
  <si>
    <t>Fee</t>
  </si>
  <si>
    <t>Net</t>
  </si>
  <si>
    <t>Federal Loan Origination Fees</t>
  </si>
  <si>
    <r>
      <t xml:space="preserve">Federal Subsidized </t>
    </r>
    <r>
      <rPr>
        <u/>
        <sz val="11"/>
        <color theme="1"/>
        <rFont val="Calibri"/>
        <family val="2"/>
        <scheme val="minor"/>
      </rPr>
      <t>Loan</t>
    </r>
  </si>
  <si>
    <r>
      <t xml:space="preserve">Federal Unsubsidized </t>
    </r>
    <r>
      <rPr>
        <u/>
        <sz val="11"/>
        <color theme="1"/>
        <rFont val="Calibri"/>
        <family val="2"/>
        <scheme val="minor"/>
      </rPr>
      <t>Loan</t>
    </r>
  </si>
  <si>
    <r>
      <t xml:space="preserve">PLUS (Grad or Parent) </t>
    </r>
    <r>
      <rPr>
        <u/>
        <sz val="11"/>
        <color theme="1"/>
        <rFont val="Calibri"/>
        <family val="2"/>
        <scheme val="minor"/>
      </rPr>
      <t>Loan</t>
    </r>
  </si>
  <si>
    <t>Anticipated Charges (1 semester)</t>
  </si>
  <si>
    <t>Anticipated Financial Aid (1 semester)</t>
  </si>
  <si>
    <t>Chapter 30</t>
  </si>
  <si>
    <t>Chapter 1606</t>
  </si>
  <si>
    <t>Chapter 1607</t>
  </si>
  <si>
    <t>1+ years</t>
  </si>
  <si>
    <t>2+years</t>
  </si>
  <si>
    <t>Chapter 35</t>
  </si>
  <si>
    <t>None</t>
  </si>
  <si>
    <t>Column refernce</t>
  </si>
  <si>
    <t>Chapter 33 - 100%</t>
  </si>
  <si>
    <t>Chapter 33 - 90%</t>
  </si>
  <si>
    <t>Chapter 33 - 80%</t>
  </si>
  <si>
    <t>Chapter 33 - 70%</t>
  </si>
  <si>
    <t>Chapter 33 - 60%</t>
  </si>
  <si>
    <t>Chapter 33 - 50%</t>
  </si>
  <si>
    <t>Chapter 33 - 40%</t>
  </si>
  <si>
    <t>Chapter 1607  &lt; 1 year</t>
  </si>
  <si>
    <t>Chapter 1607  &lt; 2 years</t>
  </si>
  <si>
    <t>Chapter 1607  2+ years</t>
  </si>
  <si>
    <t>&lt; 1 year</t>
  </si>
  <si>
    <t>Veterans Benefits Matrix</t>
  </si>
  <si>
    <t>WEEKLY RATES</t>
  </si>
  <si>
    <t>Dollar Amount</t>
  </si>
  <si>
    <t>Concat</t>
  </si>
  <si>
    <t>Benefit $$</t>
  </si>
  <si>
    <t>Selected Chapter / Credits</t>
  </si>
  <si>
    <t>VA Chapter</t>
  </si>
  <si>
    <t>Monthly Rates</t>
  </si>
  <si>
    <t>Contact Information</t>
  </si>
  <si>
    <t xml:space="preserve">Direct </t>
  </si>
  <si>
    <t>http://www.benefits.va.gov/GIBILL/resources/benefits_resources/rate_tables.asp</t>
  </si>
  <si>
    <t>No</t>
  </si>
  <si>
    <t>Yes (Spring)</t>
  </si>
  <si>
    <t>Yes (Fall &amp; Spring)</t>
  </si>
  <si>
    <t>Excelsior Scholarship</t>
  </si>
  <si>
    <t>Yes</t>
  </si>
  <si>
    <t>Other Loans</t>
  </si>
  <si>
    <t>Other Grants and Scholarships</t>
  </si>
  <si>
    <t>Tuition Credit</t>
  </si>
  <si>
    <r>
      <t xml:space="preserve">Housing Status </t>
    </r>
    <r>
      <rPr>
        <b/>
        <u/>
        <vertAlign val="superscript"/>
        <sz val="11"/>
        <color theme="9" tint="-0.499984740745262"/>
        <rFont val="Calibri"/>
        <family val="2"/>
        <scheme val="minor"/>
      </rPr>
      <t>1</t>
    </r>
  </si>
  <si>
    <r>
      <t xml:space="preserve">Number of Credits 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</si>
  <si>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 xml:space="preserve">Eligible for NYS Excelsior Scholarship? </t>
    </r>
    <r>
      <rPr>
        <b/>
        <u/>
        <vertAlign val="superscript"/>
        <sz val="11"/>
        <color theme="10"/>
        <rFont val="Calibri"/>
        <family val="2"/>
        <scheme val="minor"/>
      </rPr>
      <t>5</t>
    </r>
  </si>
  <si>
    <t>Yes - ADA</t>
  </si>
  <si>
    <t>Only students with qualified disabilities under the Americans with Disabilities Act (ADA) may receive the Excelsior Scholarship while attending less than full-time.  If you have a qualified disability and are registered or will be registered with Buffalo State's Student Accessibility Services Office, select, "Yes - ADA," otherwise, select "No".</t>
  </si>
  <si>
    <t>NYS Excelsior Scholarship</t>
  </si>
  <si>
    <t xml:space="preserve">  </t>
  </si>
  <si>
    <r>
      <t xml:space="preserve">Veteran Benefits </t>
    </r>
    <r>
      <rPr>
        <b/>
        <u/>
        <vertAlign val="superscript"/>
        <sz val="11"/>
        <color theme="10"/>
        <rFont val="Calibri"/>
        <family val="2"/>
        <scheme val="minor"/>
      </rPr>
      <t>4</t>
    </r>
  </si>
  <si>
    <t>Students with a qualified disability under the Americans with Disabilities Act may attend part-time or full-time. However, they must successfully complete all courses they enroll in.  Withdrawals and failures of any kind will result in the student's ineligibility for Excelsior.</t>
  </si>
  <si>
    <t>TUITION - ALL AID</t>
  </si>
  <si>
    <t>TUITION CREDIT BASED ON ENROLLMENT</t>
  </si>
  <si>
    <t>EXCELSIOR CALCULATION</t>
  </si>
  <si>
    <t>Sum</t>
  </si>
  <si>
    <t>Excelsior Tuition Rate</t>
  </si>
  <si>
    <t>Excelsior Elig Flag</t>
  </si>
  <si>
    <t>Enrollment Column</t>
  </si>
  <si>
    <t>Level</t>
  </si>
  <si>
    <t>In/Out State</t>
  </si>
  <si>
    <t>ADA FYI Message</t>
  </si>
  <si>
    <t>Exsc Y but Part Time</t>
  </si>
  <si>
    <t>BOOK DEFERMENT CALC</t>
  </si>
  <si>
    <t>This tool is for estimation purposes only.  Student can review their actual bill online in Banner.</t>
  </si>
  <si>
    <r>
      <t>"Anticipated Financial Aid" section.  Hover over the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red triangle</t>
    </r>
    <r>
      <rPr>
        <sz val="11"/>
        <color rgb="FFC0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to reveal additional information about each type of aid listed.</t>
    </r>
  </si>
  <si>
    <t>Non-Tuition Grants and Scholarships</t>
  </si>
  <si>
    <t>Chapter 33 Benefits only (these are the only benefits in calculator that reduce tuition)</t>
  </si>
  <si>
    <r>
      <t xml:space="preserve">Meal Plan </t>
    </r>
    <r>
      <rPr>
        <u/>
        <vertAlign val="superscript"/>
        <sz val="11"/>
        <color theme="10"/>
        <rFont val="Calibri"/>
        <family val="2"/>
        <scheme val="minor"/>
      </rPr>
      <t>2</t>
    </r>
  </si>
  <si>
    <t>updated 4/14/21</t>
  </si>
  <si>
    <t>Chapter 1607 - ENDED 11/25/19</t>
  </si>
  <si>
    <r>
      <t xml:space="preserve">Instructions: </t>
    </r>
    <r>
      <rPr>
        <sz val="11"/>
        <color theme="1"/>
        <rFont val="Calibri"/>
        <family val="2"/>
        <scheme val="minor"/>
      </rPr>
      <t xml:space="preserve">Enter appropriate data in the </t>
    </r>
    <r>
      <rPr>
        <b/>
        <sz val="12"/>
        <color theme="9" tint="-0.249977111117893"/>
        <rFont val="Calibri"/>
        <family val="2"/>
        <scheme val="minor"/>
      </rPr>
      <t>orange</t>
    </r>
    <r>
      <rPr>
        <sz val="12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cells.  Students should refer to Banner or their award letter to complete the</t>
    </r>
  </si>
  <si>
    <t>Updated 5/12/22</t>
  </si>
  <si>
    <t>Balance 14* ($3,605)</t>
  </si>
  <si>
    <t>40 Swipe Plan ($1,215)</t>
  </si>
  <si>
    <t>Desired Textbook Deferment 6</t>
  </si>
  <si>
    <t>2025-2026 ESTIMATION TOOL ONLY</t>
  </si>
  <si>
    <t>Standard Double ($4,796)</t>
  </si>
  <si>
    <t>Double - Suite ($5,039)</t>
  </si>
  <si>
    <t>Moore - Double ($5,474)</t>
  </si>
  <si>
    <t>Moore - Single ($6,021)</t>
  </si>
  <si>
    <t>Family College ($6,360)</t>
  </si>
  <si>
    <t>STAC ($6,182)</t>
  </si>
  <si>
    <t>Updated 3/3/25</t>
  </si>
  <si>
    <t>Freedom 19* ($3,640)</t>
  </si>
  <si>
    <t>175 Swipe Plan* ($3,490)</t>
  </si>
  <si>
    <t>100 Swipe Plan** ($2,635)</t>
  </si>
  <si>
    <t>20 Swipe Plan ($470)</t>
  </si>
  <si>
    <t>Updated 7/15/25</t>
  </si>
  <si>
    <t>updated 7/15/25</t>
  </si>
  <si>
    <t>Revised 7/15/2025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</si>
</sst>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rgb="FFC00000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b/>
      <u/>
      <sz val="11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vertAlign val="superscript"/>
      <sz val="11"/>
      <color theme="9" tint="-0.499984740745262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vertAlign val="superscript"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u/>
      <vertAlign val="superscript"/>
      <sz val="11"/>
      <color theme="10"/>
      <name val="Calibri"/>
      <family val="2"/>
      <scheme val="minor"/>
    </font>
    <font>
      <b/>
      <u val="singleAccounting"/>
      <sz val="11"/>
      <color rgb="FFC0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BD5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Down">
        <bgColor theme="7" tint="0.39997558519241921"/>
      </patternFill>
    </fill>
    <fill>
      <patternFill patternType="lightDown">
        <bgColor theme="7" tint="0.79998168889431442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0" fillId="5" borderId="0" xfId="0" applyFill="1"/>
    <xf numFmtId="0" fontId="0" fillId="3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/>
    <xf numFmtId="0" fontId="0" fillId="2" borderId="9" xfId="0" applyFill="1" applyBorder="1"/>
    <xf numFmtId="0" fontId="2" fillId="2" borderId="0" xfId="0" applyFont="1" applyFill="1"/>
    <xf numFmtId="0" fontId="2" fillId="2" borderId="8" xfId="0" applyFont="1" applyFill="1" applyBorder="1"/>
    <xf numFmtId="0" fontId="0" fillId="2" borderId="0" xfId="0" applyFill="1" applyAlignment="1">
      <alignment vertical="top"/>
    </xf>
    <xf numFmtId="0" fontId="2" fillId="2" borderId="9" xfId="0" applyFont="1" applyFill="1" applyBorder="1"/>
    <xf numFmtId="0" fontId="2" fillId="3" borderId="0" xfId="0" applyFont="1" applyFill="1"/>
    <xf numFmtId="0" fontId="2" fillId="5" borderId="0" xfId="0" applyFont="1" applyFill="1"/>
    <xf numFmtId="0" fontId="6" fillId="6" borderId="2" xfId="0" applyFont="1" applyFill="1" applyBorder="1" applyAlignment="1">
      <alignment horizontal="centerContinuous" vertical="center"/>
    </xf>
    <xf numFmtId="0" fontId="5" fillId="6" borderId="3" xfId="0" applyFont="1" applyFill="1" applyBorder="1" applyAlignment="1">
      <alignment horizontal="centerContinuous" vertical="center"/>
    </xf>
    <xf numFmtId="0" fontId="5" fillId="6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left"/>
    </xf>
    <xf numFmtId="0" fontId="4" fillId="2" borderId="8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Continuous" vertical="center"/>
    </xf>
    <xf numFmtId="0" fontId="4" fillId="4" borderId="4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vertical="center"/>
    </xf>
    <xf numFmtId="0" fontId="3" fillId="4" borderId="3" xfId="0" applyFont="1" applyFill="1" applyBorder="1" applyAlignment="1">
      <alignment horizontal="centerContinuous" vertical="center"/>
    </xf>
    <xf numFmtId="0" fontId="4" fillId="2" borderId="9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2" borderId="0" xfId="0" applyFont="1" applyFill="1"/>
    <xf numFmtId="0" fontId="0" fillId="2" borderId="0" xfId="0" applyFill="1" applyAlignment="1">
      <alignment horizontal="left" indent="1"/>
    </xf>
    <xf numFmtId="0" fontId="4" fillId="2" borderId="0" xfId="0" applyFont="1" applyFill="1" applyAlignment="1">
      <alignment horizontal="left" indent="1"/>
    </xf>
    <xf numFmtId="44" fontId="0" fillId="3" borderId="0" xfId="0" applyNumberFormat="1" applyFill="1"/>
    <xf numFmtId="7" fontId="0" fillId="3" borderId="0" xfId="0" applyNumberFormat="1" applyFill="1"/>
    <xf numFmtId="0" fontId="0" fillId="2" borderId="8" xfId="0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44" fontId="3" fillId="3" borderId="13" xfId="1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4" fillId="4" borderId="3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vertical="center"/>
    </xf>
    <xf numFmtId="44" fontId="0" fillId="2" borderId="0" xfId="1" applyFont="1" applyFill="1"/>
    <xf numFmtId="0" fontId="10" fillId="2" borderId="8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9" fillId="3" borderId="13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2" fillId="7" borderId="1" xfId="0" applyFont="1" applyFill="1" applyBorder="1" applyAlignment="1" applyProtection="1">
      <alignment horizontal="left"/>
      <protection locked="0"/>
    </xf>
    <xf numFmtId="7" fontId="2" fillId="7" borderId="1" xfId="1" applyNumberFormat="1" applyFont="1" applyFill="1" applyBorder="1" applyAlignment="1" applyProtection="1">
      <alignment horizontal="left"/>
      <protection locked="0"/>
    </xf>
    <xf numFmtId="44" fontId="4" fillId="7" borderId="1" xfId="1" applyFont="1" applyFill="1" applyBorder="1" applyProtection="1">
      <protection locked="0"/>
    </xf>
    <xf numFmtId="44" fontId="4" fillId="2" borderId="0" xfId="1" applyFont="1" applyFill="1" applyProtection="1">
      <protection hidden="1"/>
    </xf>
    <xf numFmtId="7" fontId="13" fillId="2" borderId="0" xfId="1" applyNumberFormat="1" applyFont="1" applyFill="1" applyProtection="1">
      <protection hidden="1"/>
    </xf>
    <xf numFmtId="7" fontId="0" fillId="2" borderId="0" xfId="1" applyNumberFormat="1" applyFont="1" applyFill="1" applyProtection="1">
      <protection hidden="1"/>
    </xf>
    <xf numFmtId="7" fontId="13" fillId="3" borderId="12" xfId="1" applyNumberFormat="1" applyFont="1" applyFill="1" applyBorder="1" applyAlignment="1" applyProtection="1">
      <alignment vertical="center"/>
      <protection hidden="1"/>
    </xf>
    <xf numFmtId="44" fontId="3" fillId="3" borderId="12" xfId="0" applyNumberFormat="1" applyFont="1" applyFill="1" applyBorder="1" applyAlignment="1" applyProtection="1">
      <alignment vertical="center"/>
      <protection hidden="1"/>
    </xf>
    <xf numFmtId="44" fontId="3" fillId="3" borderId="12" xfId="1" applyFont="1" applyFill="1" applyBorder="1" applyAlignment="1" applyProtection="1">
      <alignment vertical="center"/>
      <protection hidden="1"/>
    </xf>
    <xf numFmtId="0" fontId="10" fillId="2" borderId="14" xfId="0" applyFont="1" applyFill="1" applyBorder="1" applyAlignment="1">
      <alignment vertical="center"/>
    </xf>
    <xf numFmtId="44" fontId="4" fillId="8" borderId="1" xfId="1" applyFont="1" applyFill="1" applyBorder="1" applyProtection="1">
      <protection hidden="1"/>
    </xf>
    <xf numFmtId="0" fontId="3" fillId="2" borderId="0" xfId="0" applyFont="1" applyFill="1" applyAlignment="1">
      <alignment horizontal="left" indent="1"/>
    </xf>
    <xf numFmtId="0" fontId="21" fillId="2" borderId="0" xfId="0" applyFont="1" applyFill="1" applyAlignment="1">
      <alignment horizontal="left"/>
    </xf>
    <xf numFmtId="0" fontId="26" fillId="2" borderId="0" xfId="2" applyFont="1" applyFill="1" applyAlignment="1">
      <alignment horizontal="left"/>
    </xf>
    <xf numFmtId="0" fontId="2" fillId="2" borderId="2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24" fillId="2" borderId="0" xfId="0" applyFont="1" applyFill="1"/>
    <xf numFmtId="44" fontId="24" fillId="2" borderId="0" xfId="1" applyFont="1" applyFill="1"/>
    <xf numFmtId="164" fontId="0" fillId="2" borderId="0" xfId="3" applyNumberFormat="1" applyFont="1" applyFill="1"/>
    <xf numFmtId="164" fontId="23" fillId="2" borderId="0" xfId="3" applyNumberFormat="1" applyFont="1" applyFill="1"/>
    <xf numFmtId="164" fontId="24" fillId="2" borderId="0" xfId="3" applyNumberFormat="1" applyFont="1" applyFill="1"/>
    <xf numFmtId="0" fontId="2" fillId="2" borderId="3" xfId="0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2" fillId="10" borderId="0" xfId="0" applyFont="1" applyFill="1"/>
    <xf numFmtId="0" fontId="0" fillId="9" borderId="0" xfId="0" applyFill="1"/>
    <xf numFmtId="0" fontId="2" fillId="13" borderId="0" xfId="0" applyFont="1" applyFill="1"/>
    <xf numFmtId="0" fontId="0" fillId="15" borderId="0" xfId="0" applyFill="1"/>
    <xf numFmtId="0" fontId="2" fillId="16" borderId="0" xfId="0" applyFont="1" applyFill="1"/>
    <xf numFmtId="0" fontId="0" fillId="12" borderId="0" xfId="0" applyFill="1"/>
    <xf numFmtId="0" fontId="0" fillId="18" borderId="0" xfId="0" applyFill="1"/>
    <xf numFmtId="0" fontId="0" fillId="19" borderId="0" xfId="0" applyFill="1"/>
    <xf numFmtId="0" fontId="2" fillId="20" borderId="0" xfId="0" applyFont="1" applyFill="1"/>
    <xf numFmtId="0" fontId="0" fillId="22" borderId="0" xfId="0" applyFill="1"/>
    <xf numFmtId="0" fontId="0" fillId="8" borderId="0" xfId="0" applyFill="1" applyAlignment="1">
      <alignment horizontal="center"/>
    </xf>
    <xf numFmtId="0" fontId="2" fillId="20" borderId="0" xfId="0" applyFont="1" applyFill="1" applyAlignment="1">
      <alignment horizontal="center"/>
    </xf>
    <xf numFmtId="166" fontId="0" fillId="9" borderId="0" xfId="1" applyNumberFormat="1" applyFont="1" applyFill="1"/>
    <xf numFmtId="166" fontId="0" fillId="15" borderId="0" xfId="1" applyNumberFormat="1" applyFont="1" applyFill="1"/>
    <xf numFmtId="0" fontId="2" fillId="21" borderId="2" xfId="0" applyFont="1" applyFill="1" applyBorder="1" applyAlignment="1">
      <alignment horizontal="centerContinuous"/>
    </xf>
    <xf numFmtId="0" fontId="0" fillId="21" borderId="3" xfId="0" applyFill="1" applyBorder="1" applyAlignment="1">
      <alignment horizontal="centerContinuous"/>
    </xf>
    <xf numFmtId="0" fontId="0" fillId="21" borderId="4" xfId="0" applyFill="1" applyBorder="1" applyAlignment="1">
      <alignment horizontal="centerContinuous"/>
    </xf>
    <xf numFmtId="0" fontId="25" fillId="17" borderId="0" xfId="0" applyFont="1" applyFill="1" applyAlignment="1">
      <alignment horizontal="centerContinuous"/>
    </xf>
    <xf numFmtId="0" fontId="25" fillId="26" borderId="0" xfId="0" applyFont="1" applyFill="1" applyAlignment="1">
      <alignment horizontal="centerContinuous"/>
    </xf>
    <xf numFmtId="165" fontId="2" fillId="26" borderId="10" xfId="4" applyNumberFormat="1" applyFont="1" applyFill="1" applyBorder="1"/>
    <xf numFmtId="44" fontId="4" fillId="18" borderId="0" xfId="1" applyFont="1" applyFill="1" applyProtection="1">
      <protection hidden="1"/>
    </xf>
    <xf numFmtId="44" fontId="0" fillId="18" borderId="0" xfId="0" applyNumberFormat="1" applyFill="1"/>
    <xf numFmtId="0" fontId="25" fillId="8" borderId="0" xfId="0" applyFont="1" applyFill="1" applyAlignment="1">
      <alignment horizontal="centerContinuous"/>
    </xf>
    <xf numFmtId="0" fontId="2" fillId="8" borderId="10" xfId="0" applyFont="1" applyFill="1" applyBorder="1"/>
    <xf numFmtId="0" fontId="25" fillId="16" borderId="0" xfId="0" applyFont="1" applyFill="1" applyAlignment="1">
      <alignment horizontal="centerContinuous"/>
    </xf>
    <xf numFmtId="0" fontId="2" fillId="16" borderId="10" xfId="0" applyFont="1" applyFill="1" applyBorder="1"/>
    <xf numFmtId="44" fontId="22" fillId="12" borderId="0" xfId="1" applyFont="1" applyFill="1" applyAlignment="1">
      <alignment vertical="center" wrapText="1"/>
    </xf>
    <xf numFmtId="44" fontId="22" fillId="11" borderId="0" xfId="1" applyFont="1" applyFill="1" applyAlignment="1">
      <alignment vertical="center" wrapText="1"/>
    </xf>
    <xf numFmtId="0" fontId="2" fillId="17" borderId="10" xfId="0" applyFont="1" applyFill="1" applyBorder="1"/>
    <xf numFmtId="44" fontId="22" fillId="19" borderId="0" xfId="1" applyFont="1" applyFill="1" applyAlignment="1">
      <alignment vertical="center" wrapText="1"/>
    </xf>
    <xf numFmtId="0" fontId="25" fillId="3" borderId="0" xfId="0" applyFont="1" applyFill="1" applyAlignment="1">
      <alignment horizontal="centerContinuous"/>
    </xf>
    <xf numFmtId="0" fontId="2" fillId="3" borderId="10" xfId="0" applyFont="1" applyFill="1" applyBorder="1"/>
    <xf numFmtId="44" fontId="22" fillId="23" borderId="0" xfId="1" applyFont="1" applyFill="1" applyAlignment="1">
      <alignment vertical="center" wrapText="1"/>
    </xf>
    <xf numFmtId="0" fontId="24" fillId="23" borderId="0" xfId="0" applyFont="1" applyFill="1"/>
    <xf numFmtId="0" fontId="2" fillId="23" borderId="10" xfId="0" applyFont="1" applyFill="1" applyBorder="1"/>
    <xf numFmtId="0" fontId="22" fillId="23" borderId="0" xfId="0" applyFont="1" applyFill="1" applyAlignment="1">
      <alignment horizontal="right" vertical="center" wrapText="1"/>
    </xf>
    <xf numFmtId="0" fontId="23" fillId="23" borderId="0" xfId="0" applyFont="1" applyFill="1"/>
    <xf numFmtId="0" fontId="0" fillId="25" borderId="15" xfId="0" applyFill="1" applyBorder="1"/>
    <xf numFmtId="0" fontId="2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10" borderId="2" xfId="0" applyFont="1" applyFill="1" applyBorder="1"/>
    <xf numFmtId="0" fontId="2" fillId="13" borderId="16" xfId="0" applyFont="1" applyFill="1" applyBorder="1"/>
    <xf numFmtId="0" fontId="2" fillId="17" borderId="2" xfId="0" applyFont="1" applyFill="1" applyBorder="1"/>
    <xf numFmtId="0" fontId="2" fillId="17" borderId="4" xfId="0" applyFont="1" applyFill="1" applyBorder="1"/>
    <xf numFmtId="0" fontId="2" fillId="21" borderId="2" xfId="0" applyFont="1" applyFill="1" applyBorder="1"/>
    <xf numFmtId="0" fontId="2" fillId="21" borderId="4" xfId="0" applyFont="1" applyFill="1" applyBorder="1"/>
    <xf numFmtId="0" fontId="2" fillId="24" borderId="16" xfId="0" applyFont="1" applyFill="1" applyBorder="1"/>
    <xf numFmtId="0" fontId="27" fillId="14" borderId="16" xfId="0" applyFont="1" applyFill="1" applyBorder="1"/>
    <xf numFmtId="0" fontId="15" fillId="2" borderId="0" xfId="2" applyFill="1"/>
    <xf numFmtId="44" fontId="17" fillId="12" borderId="0" xfId="1" applyFont="1" applyFill="1" applyAlignment="1">
      <alignment vertical="center" wrapText="1"/>
    </xf>
    <xf numFmtId="44" fontId="17" fillId="11" borderId="0" xfId="1" applyFont="1" applyFill="1" applyAlignment="1">
      <alignment vertical="center" wrapText="1"/>
    </xf>
    <xf numFmtId="44" fontId="17" fillId="23" borderId="0" xfId="1" applyFont="1" applyFill="1" applyAlignment="1">
      <alignment vertical="center" wrapText="1"/>
    </xf>
    <xf numFmtId="0" fontId="17" fillId="23" borderId="0" xfId="0" applyFont="1" applyFill="1"/>
    <xf numFmtId="0" fontId="28" fillId="23" borderId="0" xfId="0" applyFont="1" applyFill="1" applyAlignment="1">
      <alignment horizontal="right" vertical="center" wrapText="1"/>
    </xf>
    <xf numFmtId="44" fontId="28" fillId="12" borderId="0" xfId="1" applyFont="1" applyFill="1" applyAlignment="1">
      <alignment vertical="center" wrapText="1"/>
    </xf>
    <xf numFmtId="44" fontId="28" fillId="11" borderId="0" xfId="1" applyFont="1" applyFill="1" applyAlignment="1">
      <alignment vertical="center" wrapText="1"/>
    </xf>
    <xf numFmtId="44" fontId="28" fillId="23" borderId="0" xfId="1" applyFont="1" applyFill="1" applyAlignment="1">
      <alignment vertical="center" wrapText="1"/>
    </xf>
    <xf numFmtId="0" fontId="28" fillId="23" borderId="0" xfId="0" applyFont="1" applyFill="1"/>
    <xf numFmtId="0" fontId="29" fillId="2" borderId="0" xfId="0" applyFont="1" applyFill="1" applyProtection="1">
      <protection hidden="1"/>
    </xf>
    <xf numFmtId="0" fontId="8" fillId="3" borderId="11" xfId="0" applyFont="1" applyFill="1" applyBorder="1" applyAlignment="1" applyProtection="1">
      <alignment horizontal="left" vertical="center"/>
      <protection hidden="1"/>
    </xf>
    <xf numFmtId="44" fontId="0" fillId="2" borderId="0" xfId="0" applyNumberFormat="1" applyFill="1"/>
    <xf numFmtId="0" fontId="15" fillId="2" borderId="0" xfId="2" applyFill="1" applyAlignment="1">
      <alignment horizontal="right"/>
    </xf>
    <xf numFmtId="0" fontId="15" fillId="2" borderId="0" xfId="2" applyFill="1" applyAlignment="1">
      <alignment horizontal="left" indent="1"/>
    </xf>
    <xf numFmtId="0" fontId="10" fillId="2" borderId="8" xfId="0" applyFont="1" applyFill="1" applyBorder="1"/>
    <xf numFmtId="0" fontId="10" fillId="2" borderId="0" xfId="0" applyFont="1" applyFill="1" applyAlignment="1">
      <alignment horizontal="centerContinuous"/>
    </xf>
    <xf numFmtId="0" fontId="20" fillId="2" borderId="0" xfId="0" applyFont="1" applyFill="1" applyAlignment="1">
      <alignment horizontal="right"/>
    </xf>
    <xf numFmtId="0" fontId="10" fillId="2" borderId="9" xfId="0" applyFont="1" applyFill="1" applyBorder="1"/>
    <xf numFmtId="0" fontId="10" fillId="3" borderId="0" xfId="0" applyFont="1" applyFill="1"/>
    <xf numFmtId="0" fontId="10" fillId="5" borderId="0" xfId="0" applyFont="1" applyFill="1"/>
    <xf numFmtId="0" fontId="0" fillId="5" borderId="6" xfId="0" applyFill="1" applyBorder="1" applyAlignment="1">
      <alignment horizontal="centerContinuous"/>
    </xf>
    <xf numFmtId="0" fontId="31" fillId="2" borderId="0" xfId="2" applyFont="1" applyFill="1" applyAlignment="1">
      <alignment horizontal="left"/>
    </xf>
    <xf numFmtId="14" fontId="0" fillId="2" borderId="0" xfId="0" applyNumberFormat="1" applyFill="1"/>
    <xf numFmtId="0" fontId="33" fillId="5" borderId="0" xfId="0" applyFont="1" applyFill="1"/>
    <xf numFmtId="0" fontId="33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0" fontId="35" fillId="5" borderId="0" xfId="0" applyFont="1" applyFill="1"/>
    <xf numFmtId="44" fontId="0" fillId="9" borderId="0" xfId="1" applyFont="1" applyFill="1"/>
    <xf numFmtId="0" fontId="31" fillId="2" borderId="0" xfId="2" applyFont="1" applyFill="1"/>
    <xf numFmtId="0" fontId="18" fillId="3" borderId="0" xfId="0" applyFont="1" applyFill="1"/>
    <xf numFmtId="44" fontId="0" fillId="3" borderId="0" xfId="1" applyFont="1" applyFill="1"/>
    <xf numFmtId="44" fontId="0" fillId="3" borderId="0" xfId="1" applyFont="1" applyFill="1" applyAlignment="1">
      <alignment vertical="center"/>
    </xf>
    <xf numFmtId="0" fontId="36" fillId="3" borderId="0" xfId="0" applyFont="1" applyFill="1"/>
    <xf numFmtId="44" fontId="0" fillId="3" borderId="17" xfId="0" applyNumberFormat="1" applyFill="1" applyBorder="1"/>
    <xf numFmtId="0" fontId="0" fillId="3" borderId="17" xfId="0" applyFill="1" applyBorder="1"/>
    <xf numFmtId="0" fontId="0" fillId="3" borderId="0" xfId="0" applyFill="1" applyAlignment="1">
      <alignment horizontal="right"/>
    </xf>
    <xf numFmtId="0" fontId="0" fillId="2" borderId="0" xfId="0" applyFill="1" applyAlignment="1">
      <alignment horizontal="left"/>
    </xf>
    <xf numFmtId="44" fontId="0" fillId="18" borderId="0" xfId="1" applyFont="1" applyFill="1"/>
    <xf numFmtId="44" fontId="4" fillId="3" borderId="0" xfId="1" applyFont="1" applyFill="1" applyAlignment="1">
      <alignment vertical="center"/>
    </xf>
    <xf numFmtId="44" fontId="14" fillId="2" borderId="0" xfId="1" applyFont="1" applyFill="1" applyProtection="1">
      <protection hidden="1"/>
    </xf>
    <xf numFmtId="0" fontId="15" fillId="2" borderId="0" xfId="2" applyFill="1" applyAlignment="1">
      <alignment horizontal="left"/>
    </xf>
    <xf numFmtId="0" fontId="2" fillId="27" borderId="10" xfId="0" applyFont="1" applyFill="1" applyBorder="1"/>
    <xf numFmtId="44" fontId="28" fillId="28" borderId="0" xfId="1" applyFont="1" applyFill="1" applyAlignment="1">
      <alignment vertical="center" wrapText="1"/>
    </xf>
    <xf numFmtId="44" fontId="17" fillId="28" borderId="0" xfId="1" applyFont="1" applyFill="1" applyAlignment="1">
      <alignment vertical="center" wrapText="1"/>
    </xf>
    <xf numFmtId="0" fontId="39" fillId="17" borderId="0" xfId="0" applyFont="1" applyFill="1" applyAlignment="1">
      <alignment horizontal="centerContinuous"/>
    </xf>
    <xf numFmtId="44" fontId="22" fillId="28" borderId="0" xfId="1" applyFont="1" applyFill="1" applyAlignment="1">
      <alignment vertical="center" wrapText="1"/>
    </xf>
    <xf numFmtId="0" fontId="33" fillId="5" borderId="0" xfId="0" applyFont="1" applyFill="1" applyAlignment="1" applyProtection="1">
      <alignment horizontal="left" vertical="top" wrapText="1" indent="1"/>
      <protection hidden="1"/>
    </xf>
  </cellXfs>
  <cellStyles count="5">
    <cellStyle name="Comma" xfId="3" builtinId="3"/>
    <cellStyle name="Currency" xfId="1" builtinId="4"/>
    <cellStyle name="Hyperlink" xfId="2" builtinId="8"/>
    <cellStyle name="Normal" xfId="0" builtinId="0"/>
    <cellStyle name="Percent" xfId="4" builtinId="5"/>
  </cellStyles>
  <dxfs count="2">
    <dxf>
      <font>
        <color theme="6" tint="-0.499984740745262"/>
      </font>
    </dxf>
    <dxf>
      <font>
        <color rgb="FFC00000"/>
      </font>
    </dxf>
  </dxfs>
  <tableStyles count="0" defaultTableStyle="TableStyleMedium2" defaultPivotStyle="PivotStyleLight16"/>
  <colors>
    <mruColors>
      <color rgb="FFFFFFCC"/>
      <color rgb="FFFFB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26202</xdr:colOff>
      <xdr:row>2</xdr:row>
      <xdr:rowOff>66939</xdr:rowOff>
    </xdr:from>
    <xdr:to>
      <xdr:col>3</xdr:col>
      <xdr:colOff>852972</xdr:colOff>
      <xdr:row>5</xdr:row>
      <xdr:rowOff>57150</xdr:rowOff>
    </xdr:to>
    <xdr:pic>
      <xdr:nvPicPr>
        <xdr:cNvPr id="2" name="Picture 1" title="Buffalo State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252" y="314589"/>
          <a:ext cx="2788920" cy="561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2</xdr:col>
      <xdr:colOff>42337</xdr:colOff>
      <xdr:row>50</xdr:row>
      <xdr:rowOff>3181</xdr:rowOff>
    </xdr:from>
    <xdr:to>
      <xdr:col>7</xdr:col>
      <xdr:colOff>994836</xdr:colOff>
      <xdr:row>60</xdr:row>
      <xdr:rowOff>123825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42387" y="8804281"/>
          <a:ext cx="7315199" cy="27114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228600" marR="0" lvl="0" indent="-22860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/>
            <a:defRPr/>
          </a:pPr>
          <a:r>
            <a:rPr lang="en-US" sz="9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Housing</a:t>
          </a:r>
          <a:r>
            <a:rPr lang="en-US" sz="9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rates</a:t>
          </a:r>
          <a:r>
            <a:rPr lang="en-US" sz="9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are confirmed </a:t>
          </a:r>
          <a:r>
            <a:rPr lang="en-US" sz="95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</a:t>
          </a:r>
          <a:r>
            <a:rPr lang="en-US" sz="9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2025-2026 as of March 3, 2025.</a:t>
          </a:r>
          <a:endParaRPr lang="en-US" sz="950" b="1">
            <a:ln>
              <a:noFill/>
            </a:ln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228600" marR="0" lvl="0" indent="-22860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/>
            <a:defRPr/>
          </a:pPr>
          <a:r>
            <a:rPr lang="en-US" sz="950" b="1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Meal plans </a:t>
          </a:r>
          <a:r>
            <a:rPr lang="en-US" sz="95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marked with * are required for freshmen;</a:t>
          </a:r>
          <a:r>
            <a:rPr lang="en-US" sz="950" b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P</a:t>
          </a:r>
          <a:r>
            <a:rPr lang="en-US" sz="95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lans marked with ** are minimum required for sophomores.</a:t>
          </a:r>
          <a:r>
            <a:rPr lang="en-US" sz="950" b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Rates are confirmed for 2025-2026 </a:t>
          </a:r>
          <a:r>
            <a:rPr lang="en-US" sz="9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 of July 15, 2025.</a:t>
          </a:r>
        </a:p>
        <a:p>
          <a:pPr marL="228600" lvl="0" indent="-228600" algn="l">
            <a:lnSpc>
              <a:spcPts val="1400"/>
            </a:lnSpc>
            <a:buFont typeface="+mj-lt"/>
            <a:buAutoNum type="arabicPeriod"/>
          </a:pPr>
          <a:r>
            <a:rPr lang="en-US" sz="950" b="1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Full-time</a:t>
          </a:r>
          <a:r>
            <a:rPr lang="en-US" sz="95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is considered 12 or</a:t>
          </a:r>
          <a:r>
            <a:rPr lang="en-US" sz="950" b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more </a:t>
          </a:r>
          <a:r>
            <a:rPr lang="en-US" sz="95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credits.  Tuition and fees are assessed per credit until the student reaches</a:t>
          </a:r>
          <a:r>
            <a:rPr lang="en-US" sz="950" b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12 credits</a:t>
          </a:r>
          <a:r>
            <a:rPr lang="en-US" sz="95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 If you will attend</a:t>
          </a:r>
          <a:r>
            <a:rPr lang="en-US" sz="950" b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part-time you must notify the Financial Aid Office so your aid can be adjusted to part-time status. Initial awards default to full-time status.</a:t>
          </a:r>
          <a:endParaRPr lang="en-US" sz="950" b="0">
            <a:ln>
              <a:noFill/>
            </a:ln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228600" marR="0" lvl="0" indent="-22860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/>
            <a:defRPr/>
          </a:pPr>
          <a:r>
            <a:rPr lang="en-US" sz="9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Veterans Benefits </a:t>
          </a:r>
          <a:r>
            <a:rPr lang="en-US" sz="95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updated</a:t>
          </a:r>
          <a:r>
            <a:rPr lang="en-US" sz="9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5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</a:t>
          </a:r>
          <a:r>
            <a:rPr lang="en-US" sz="9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February 2025. </a:t>
          </a:r>
          <a:r>
            <a:rPr lang="en-US" sz="95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endParaRPr lang="en-US" sz="950">
            <a:effectLst/>
            <a:latin typeface="+mn-lt"/>
          </a:endParaRPr>
        </a:p>
        <a:p>
          <a:pPr marL="228600" lvl="0" indent="-228600" algn="l">
            <a:lnSpc>
              <a:spcPts val="1400"/>
            </a:lnSpc>
            <a:buFont typeface="+mj-lt"/>
            <a:buAutoNum type="arabicPeriod"/>
          </a:pPr>
          <a:r>
            <a:rPr lang="en-US" sz="950" b="1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NYS Excelsior Scholarship: </a:t>
          </a:r>
          <a:r>
            <a:rPr lang="en-US" sz="95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 separate</a:t>
          </a:r>
          <a:r>
            <a:rPr lang="en-US" sz="950" b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application is required; students must meet income and academic requirements to qualify. Excelsior guarantees free-tuition for eligible students after all other grants and scholarships are applied.  Student must enroll full-time and earn an average of 30 credits per academic year. Other conditions apply. ADA stands for Americans with Disabilities Act; students with qualifying disabilities are not required to attend full-time.</a:t>
          </a:r>
          <a:endParaRPr lang="en-US" sz="950" b="1">
            <a:ln>
              <a:noFill/>
            </a:ln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228600" lvl="0" indent="-228600" algn="l">
            <a:lnSpc>
              <a:spcPts val="1400"/>
            </a:lnSpc>
            <a:buFont typeface="+mj-lt"/>
            <a:buAutoNum type="arabicPeriod"/>
          </a:pPr>
          <a:r>
            <a:rPr lang="en-US" sz="950" b="1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Book deferments </a:t>
          </a:r>
          <a:r>
            <a:rPr lang="en-US" sz="95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are allowed only if the student has </a:t>
          </a:r>
          <a:r>
            <a:rPr lang="en-US" sz="950" b="0" u="sng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more</a:t>
          </a:r>
          <a:r>
            <a:rPr lang="en-US" sz="95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financial aid than anticipated charges. This calculator automatically reduces book deferments if the student is not eligible for the amount entered.  The maximum students may request in a book deferment is $1000.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38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974806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sidencelife.buffalostate.edu/" TargetMode="External"/><Relationship Id="rId13" Type="http://schemas.openxmlformats.org/officeDocument/2006/relationships/hyperlink" Target="https://www.dineoncampus.com/bsc/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www.buffalostate.edu/residencelife/" TargetMode="External"/><Relationship Id="rId7" Type="http://schemas.openxmlformats.org/officeDocument/2006/relationships/hyperlink" Target="https://www.benefits.va.gov/GIBILL/resources/benefits_resources/rate_tables.asp" TargetMode="External"/><Relationship Id="rId12" Type="http://schemas.openxmlformats.org/officeDocument/2006/relationships/hyperlink" Target="http://residencelife.buffalostate.edu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studentaccounts.buffalostate.edu/tuition-and-fees" TargetMode="External"/><Relationship Id="rId16" Type="http://schemas.openxmlformats.org/officeDocument/2006/relationships/hyperlink" Target="https://dineoncampus.com/bsc" TargetMode="External"/><Relationship Id="rId20" Type="http://schemas.openxmlformats.org/officeDocument/2006/relationships/comments" Target="../comments1.xml"/><Relationship Id="rId1" Type="http://schemas.openxmlformats.org/officeDocument/2006/relationships/hyperlink" Target="https://studentaccounts.buffalostate.edu/tuition-and-fees" TargetMode="External"/><Relationship Id="rId6" Type="http://schemas.openxmlformats.org/officeDocument/2006/relationships/hyperlink" Target="http://studentaccounts.buffalostate.edu/state-residency" TargetMode="External"/><Relationship Id="rId11" Type="http://schemas.openxmlformats.org/officeDocument/2006/relationships/hyperlink" Target="https://www.dineoncampus.com/bsc/choose-your-meal-plan" TargetMode="External"/><Relationship Id="rId5" Type="http://schemas.openxmlformats.org/officeDocument/2006/relationships/hyperlink" Target="https://suny.buffalostate.edu/parking" TargetMode="External"/><Relationship Id="rId15" Type="http://schemas.openxmlformats.org/officeDocument/2006/relationships/hyperlink" Target="https://financialaid.buffalostate.edu/contact-us" TargetMode="External"/><Relationship Id="rId10" Type="http://schemas.openxmlformats.org/officeDocument/2006/relationships/hyperlink" Target="https://financialaid.buffalostate.edu/disbursement-schedule-book-deferments-and-refunds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financialaid.buffalostate.edu/disbursement-schedule-book-deferments-and-refunds" TargetMode="External"/><Relationship Id="rId9" Type="http://schemas.openxmlformats.org/officeDocument/2006/relationships/hyperlink" Target="https://suny.buffalostate.edu/parking" TargetMode="External"/><Relationship Id="rId14" Type="http://schemas.openxmlformats.org/officeDocument/2006/relationships/hyperlink" Target="https://www.hesc.ny.gov/pay-for-college/financial-aid/types-of-financial-aid/nys-grants-scholarships-awards/the-excelsior-scholarship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enefits.va.gov/GIBILL/resources/benefits_resources/rate_tables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61"/>
  <sheetViews>
    <sheetView tabSelected="1" zoomScaleNormal="100" workbookViewId="0">
      <selection activeCell="N55" sqref="N55"/>
    </sheetView>
  </sheetViews>
  <sheetFormatPr defaultRowHeight="15" x14ac:dyDescent="0.25"/>
  <cols>
    <col min="1" max="2" width="3" style="1" customWidth="1"/>
    <col min="3" max="3" width="29.42578125" style="1" customWidth="1"/>
    <col min="4" max="4" width="24" style="1" customWidth="1"/>
    <col min="5" max="5" width="5.7109375" style="1" customWidth="1"/>
    <col min="6" max="6" width="34.28515625" style="1" bestFit="1" customWidth="1"/>
    <col min="7" max="7" width="2" style="1" customWidth="1"/>
    <col min="8" max="8" width="15.28515625" style="1" customWidth="1"/>
    <col min="9" max="9" width="2.85546875" style="1" customWidth="1"/>
    <col min="10" max="10" width="9.140625" style="2" hidden="1" customWidth="1"/>
    <col min="11" max="11" width="12.140625" style="2" hidden="1" customWidth="1"/>
    <col min="12" max="13" width="9.140625" style="2" hidden="1" customWidth="1"/>
    <col min="14" max="14" width="62" style="144" customWidth="1"/>
    <col min="15" max="16384" width="9.140625" style="1"/>
  </cols>
  <sheetData>
    <row r="1" spans="2:14" ht="15.75" thickBot="1" x14ac:dyDescent="0.3"/>
    <row r="2" spans="2:14" ht="3.75" customHeight="1" x14ac:dyDescent="0.25">
      <c r="B2" s="3"/>
      <c r="C2" s="4"/>
      <c r="D2" s="4"/>
      <c r="E2" s="4"/>
      <c r="F2" s="4"/>
      <c r="G2" s="4"/>
      <c r="H2" s="4"/>
      <c r="I2" s="5"/>
    </row>
    <row r="3" spans="2:14" x14ac:dyDescent="0.25">
      <c r="B3" s="6"/>
      <c r="C3" s="7"/>
      <c r="D3" s="7"/>
      <c r="E3" s="7"/>
      <c r="F3" s="7"/>
      <c r="G3" s="7"/>
      <c r="H3" s="133" t="s">
        <v>90</v>
      </c>
      <c r="I3" s="8"/>
    </row>
    <row r="4" spans="2:14" x14ac:dyDescent="0.25">
      <c r="B4" s="6"/>
      <c r="C4" s="7"/>
      <c r="D4" s="7"/>
      <c r="E4" s="7"/>
      <c r="F4" s="7"/>
      <c r="G4" s="7"/>
      <c r="H4" s="133"/>
      <c r="I4" s="8"/>
    </row>
    <row r="5" spans="2:14" x14ac:dyDescent="0.25">
      <c r="B5" s="6"/>
      <c r="C5" s="7"/>
      <c r="D5" s="7"/>
      <c r="E5" s="7"/>
      <c r="F5" s="7"/>
      <c r="G5" s="7"/>
      <c r="H5" s="133"/>
      <c r="I5" s="8"/>
    </row>
    <row r="6" spans="2:14" ht="9" customHeight="1" x14ac:dyDescent="0.25">
      <c r="B6" s="6"/>
      <c r="C6" s="7"/>
      <c r="D6" s="7"/>
      <c r="E6" s="7"/>
      <c r="F6" s="7"/>
      <c r="G6" s="7"/>
      <c r="H6" s="7"/>
      <c r="I6" s="8"/>
    </row>
    <row r="7" spans="2:14" ht="15.75" x14ac:dyDescent="0.25">
      <c r="B7" s="6"/>
      <c r="C7" s="9" t="s">
        <v>129</v>
      </c>
      <c r="D7" s="7"/>
      <c r="E7" s="7"/>
      <c r="F7" s="7"/>
      <c r="G7" s="7"/>
      <c r="H7" s="7"/>
      <c r="I7" s="8"/>
    </row>
    <row r="8" spans="2:14" ht="13.5" customHeight="1" x14ac:dyDescent="0.25">
      <c r="B8" s="6"/>
      <c r="C8" s="7" t="s">
        <v>123</v>
      </c>
      <c r="D8" s="7"/>
      <c r="E8" s="7"/>
      <c r="F8" s="7"/>
      <c r="G8" s="7"/>
      <c r="H8" s="7"/>
      <c r="I8" s="8"/>
    </row>
    <row r="9" spans="2:14" ht="13.5" customHeight="1" x14ac:dyDescent="0.25">
      <c r="B9" s="6"/>
      <c r="C9" s="158" t="s">
        <v>122</v>
      </c>
      <c r="D9" s="7"/>
      <c r="E9" s="7"/>
      <c r="F9" s="7"/>
      <c r="G9" s="7"/>
      <c r="H9" s="7"/>
      <c r="I9" s="8"/>
    </row>
    <row r="10" spans="2:14" s="14" customFormat="1" ht="8.25" customHeight="1" thickBot="1" x14ac:dyDescent="0.3">
      <c r="B10" s="10"/>
      <c r="C10" s="11"/>
      <c r="D10" s="9"/>
      <c r="E10" s="9"/>
      <c r="F10" s="9"/>
      <c r="G10" s="9"/>
      <c r="H10" s="9"/>
      <c r="I10" s="12"/>
      <c r="J10" s="13"/>
      <c r="K10" s="13"/>
      <c r="L10" s="13"/>
      <c r="M10" s="13"/>
      <c r="N10" s="144"/>
    </row>
    <row r="11" spans="2:14" ht="21.75" customHeight="1" thickBot="1" x14ac:dyDescent="0.3">
      <c r="B11" s="6"/>
      <c r="C11" s="15" t="s">
        <v>33</v>
      </c>
      <c r="D11" s="16"/>
      <c r="E11" s="16"/>
      <c r="F11" s="16"/>
      <c r="G11" s="16"/>
      <c r="H11" s="17"/>
      <c r="I11" s="8"/>
    </row>
    <row r="12" spans="2:14" x14ac:dyDescent="0.25">
      <c r="B12" s="6"/>
      <c r="C12" s="9"/>
      <c r="D12" s="7"/>
      <c r="E12" s="7"/>
      <c r="F12" s="7"/>
      <c r="G12" s="7"/>
      <c r="H12" s="7"/>
      <c r="I12" s="8"/>
    </row>
    <row r="13" spans="2:14" x14ac:dyDescent="0.25">
      <c r="B13" s="6"/>
      <c r="C13" s="61" t="s">
        <v>8</v>
      </c>
      <c r="D13" s="48" t="s">
        <v>1</v>
      </c>
      <c r="E13" s="7"/>
      <c r="F13" s="9" t="s">
        <v>4</v>
      </c>
      <c r="G13" s="9"/>
      <c r="H13" s="48" t="s">
        <v>5</v>
      </c>
      <c r="I13" s="8"/>
      <c r="K13" s="2" t="str">
        <f>IF(D13="In-State","IN","OUT")</f>
        <v>IN</v>
      </c>
      <c r="L13" s="154" t="s">
        <v>118</v>
      </c>
    </row>
    <row r="14" spans="2:14" ht="6" customHeight="1" x14ac:dyDescent="0.25">
      <c r="B14" s="6"/>
      <c r="C14" s="61"/>
      <c r="D14" s="18"/>
      <c r="E14" s="7"/>
      <c r="F14" s="9"/>
      <c r="G14" s="7"/>
      <c r="H14" s="18"/>
      <c r="I14" s="8"/>
      <c r="L14" s="154"/>
    </row>
    <row r="15" spans="2:14" ht="17.25" x14ac:dyDescent="0.25">
      <c r="B15" s="6"/>
      <c r="C15" s="61" t="s">
        <v>101</v>
      </c>
      <c r="D15" s="48" t="s">
        <v>3</v>
      </c>
      <c r="E15" s="7"/>
      <c r="F15" s="150" t="s">
        <v>103</v>
      </c>
      <c r="G15" s="9"/>
      <c r="H15" s="48" t="s">
        <v>97</v>
      </c>
      <c r="I15" s="8" t="s">
        <v>107</v>
      </c>
      <c r="K15" s="2" t="str">
        <f>IF(H13="Graduate","GR","UG")</f>
        <v>UG</v>
      </c>
      <c r="L15" s="154" t="s">
        <v>117</v>
      </c>
      <c r="N15" s="168" t="str">
        <f>IF(AND($H$15&lt;&gt;"No",$H$13="Graduate"),"Graduate Students are not eligible for the Excelsior Scholarship.",IF(AND(H15&lt;&gt;"No",D13="Out-Of-State"),"Students must be New York State Residents to qualify for Excelsior.",IF(AND($H$15="Yes",$D$19&lt;&gt;"12+"),K21,IF(H15="Yes - ADA",K22,""))))</f>
        <v/>
      </c>
    </row>
    <row r="16" spans="2:14" ht="6" customHeight="1" x14ac:dyDescent="0.25">
      <c r="B16" s="6"/>
      <c r="C16" s="61"/>
      <c r="D16" s="18"/>
      <c r="E16" s="7"/>
      <c r="F16" s="7"/>
      <c r="G16" s="7"/>
      <c r="H16" s="7"/>
      <c r="I16" s="8"/>
      <c r="L16" s="154"/>
      <c r="N16" s="168"/>
    </row>
    <row r="17" spans="2:14" ht="17.25" x14ac:dyDescent="0.25">
      <c r="B17" s="6"/>
      <c r="C17" s="162" t="s">
        <v>126</v>
      </c>
      <c r="D17" s="48" t="s">
        <v>40</v>
      </c>
      <c r="E17" s="7"/>
      <c r="F17" s="162" t="s">
        <v>28</v>
      </c>
      <c r="G17" s="7"/>
      <c r="H17" s="48" t="s">
        <v>27</v>
      </c>
      <c r="I17" s="8"/>
      <c r="K17" s="2" t="str">
        <f>IF(D19="12+","2","1")</f>
        <v>2</v>
      </c>
      <c r="L17" s="154" t="s">
        <v>116</v>
      </c>
      <c r="N17" s="168"/>
    </row>
    <row r="18" spans="2:14" ht="6" customHeight="1" x14ac:dyDescent="0.25">
      <c r="B18" s="6"/>
      <c r="C18" s="9"/>
      <c r="D18" s="18"/>
      <c r="E18" s="7"/>
      <c r="F18" s="9"/>
      <c r="G18" s="7"/>
      <c r="H18" s="18"/>
      <c r="I18" s="8"/>
      <c r="L18" s="154"/>
      <c r="N18" s="168"/>
    </row>
    <row r="19" spans="2:14" ht="17.25" x14ac:dyDescent="0.25">
      <c r="B19" s="6"/>
      <c r="C19" s="9" t="s">
        <v>102</v>
      </c>
      <c r="D19" s="48" t="s">
        <v>7</v>
      </c>
      <c r="E19" s="7"/>
      <c r="F19" s="162" t="s">
        <v>133</v>
      </c>
      <c r="G19" s="7"/>
      <c r="H19" s="49">
        <v>0</v>
      </c>
      <c r="I19" s="8"/>
      <c r="K19" s="2" t="str">
        <f>IF(AND(H15="Yes",D19="12+",D13="In-State",H13="Undergraduate"),"EXSC Elig",IF(AND(H15="Yes - ADA",D13="In-State",H13="Undergraduate"),"EXSC Elig","Not EXSC Elig"))</f>
        <v>EXSC Elig</v>
      </c>
      <c r="L19" s="154" t="s">
        <v>115</v>
      </c>
      <c r="N19" s="168"/>
    </row>
    <row r="20" spans="2:14" ht="6" customHeight="1" x14ac:dyDescent="0.25">
      <c r="B20" s="6"/>
      <c r="C20" s="9"/>
      <c r="D20" s="18"/>
      <c r="E20" s="7"/>
      <c r="F20" s="7"/>
      <c r="G20" s="7"/>
      <c r="H20" s="7"/>
      <c r="I20" s="8"/>
      <c r="N20" s="168"/>
    </row>
    <row r="21" spans="2:14" ht="17.25" customHeight="1" x14ac:dyDescent="0.25">
      <c r="B21" s="6"/>
      <c r="C21" s="142" t="s">
        <v>108</v>
      </c>
      <c r="D21" s="48" t="s">
        <v>69</v>
      </c>
      <c r="E21" s="7"/>
      <c r="F21" s="7"/>
      <c r="G21" s="7"/>
      <c r="H21" s="7"/>
      <c r="I21" s="8"/>
      <c r="K21" s="2" t="s">
        <v>105</v>
      </c>
      <c r="L21" s="154" t="s">
        <v>120</v>
      </c>
      <c r="N21" s="168"/>
    </row>
    <row r="22" spans="2:14" ht="15.75" thickBot="1" x14ac:dyDescent="0.3">
      <c r="B22" s="6"/>
      <c r="C22" s="130" t="str">
        <f>IF(D21&lt;&gt;"none","Your veterans benefits have been calculated below.","")</f>
        <v/>
      </c>
      <c r="D22" s="9"/>
      <c r="E22" s="7"/>
      <c r="F22" s="130"/>
      <c r="G22" s="7"/>
      <c r="H22" s="9"/>
      <c r="I22" s="8"/>
      <c r="K22" s="2" t="s">
        <v>109</v>
      </c>
      <c r="L22" s="154" t="s">
        <v>119</v>
      </c>
    </row>
    <row r="23" spans="2:14" s="25" customFormat="1" ht="20.25" customHeight="1" thickBot="1" x14ac:dyDescent="0.3">
      <c r="B23" s="19"/>
      <c r="C23" s="20" t="s">
        <v>61</v>
      </c>
      <c r="D23" s="21"/>
      <c r="E23" s="22"/>
      <c r="F23" s="20" t="s">
        <v>62</v>
      </c>
      <c r="G23" s="23"/>
      <c r="H23" s="21"/>
      <c r="I23" s="24"/>
      <c r="J23" s="2"/>
      <c r="K23" s="151" t="s">
        <v>121</v>
      </c>
      <c r="L23" s="2"/>
      <c r="M23" s="2"/>
      <c r="N23" s="144"/>
    </row>
    <row r="24" spans="2:14" ht="6" customHeight="1" x14ac:dyDescent="0.25">
      <c r="B24" s="6"/>
      <c r="C24" s="7"/>
      <c r="D24" s="7"/>
      <c r="E24" s="7"/>
      <c r="F24" s="7"/>
      <c r="G24" s="7"/>
      <c r="H24" s="7"/>
      <c r="I24" s="8"/>
    </row>
    <row r="25" spans="2:14" ht="15.75" x14ac:dyDescent="0.25">
      <c r="B25" s="6"/>
      <c r="C25" s="134" t="s">
        <v>10</v>
      </c>
      <c r="D25" s="51">
        <f>IF($D$19="12+",VLOOKUP(C25&amp;"-"&amp;$K$15&amp;"-"&amp;$K$13,Validation!$A$28:$C$36,3,FALSE),VLOOKUP(C25&amp;"-"&amp;$K$15&amp;"-"&amp;$K$13,Validation!$A$28:$C$36,2,FALSE)*D19)</f>
        <v>3535</v>
      </c>
      <c r="E25" s="26"/>
      <c r="F25" s="27" t="s">
        <v>35</v>
      </c>
      <c r="G25" s="28"/>
      <c r="H25" s="50">
        <v>0</v>
      </c>
      <c r="I25" s="8"/>
      <c r="K25" s="29">
        <f>SUM(D25:D28,D30:D34)</f>
        <v>4266.5</v>
      </c>
      <c r="L25" s="2" t="s">
        <v>41</v>
      </c>
      <c r="N25" s="144" t="str">
        <f>IF($H$13="Graduate","  Not available for graduate students","")</f>
        <v/>
      </c>
    </row>
    <row r="26" spans="2:14" ht="15.75" x14ac:dyDescent="0.25">
      <c r="B26" s="6"/>
      <c r="C26" s="134" t="s">
        <v>11</v>
      </c>
      <c r="D26" s="51">
        <f>IF($D$19="12+",VLOOKUP(C26&amp;"-"&amp;$K$15&amp;"-"&amp;$K$13,Validation!$A$28:$C$36,3,FALSE),VLOOKUP(C26&amp;"-"&amp;$K$15&amp;"-"&amp;$K$13,Validation!$A$28:$C$36,2,FALSE)*$D$19)</f>
        <v>731.5</v>
      </c>
      <c r="E26" s="26"/>
      <c r="F26" s="27" t="s">
        <v>36</v>
      </c>
      <c r="G26" s="28"/>
      <c r="H26" s="50">
        <v>0</v>
      </c>
      <c r="I26" s="8"/>
      <c r="K26" s="155">
        <f>H42</f>
        <v>3535</v>
      </c>
      <c r="L26" s="156" t="s">
        <v>42</v>
      </c>
      <c r="N26" s="144" t="str">
        <f>IF($H$13="Graduate","  Not available for graduate students","")</f>
        <v/>
      </c>
    </row>
    <row r="27" spans="2:14" ht="15.75" x14ac:dyDescent="0.25">
      <c r="B27" s="6"/>
      <c r="C27" s="27"/>
      <c r="D27" s="51">
        <v>0</v>
      </c>
      <c r="E27" s="26"/>
      <c r="F27" s="27" t="s">
        <v>37</v>
      </c>
      <c r="G27" s="28"/>
      <c r="H27" s="50">
        <v>0</v>
      </c>
      <c r="I27" s="8"/>
      <c r="K27" s="29">
        <f>K25-K26</f>
        <v>731.5</v>
      </c>
      <c r="L27" s="2" t="s">
        <v>43</v>
      </c>
    </row>
    <row r="28" spans="2:14" ht="15.75" x14ac:dyDescent="0.25">
      <c r="B28" s="6"/>
      <c r="C28" s="134" t="s">
        <v>12</v>
      </c>
      <c r="D28" s="51">
        <f>VLOOKUP(H17,Validation!E3:F4,2,FALSE)</f>
        <v>0</v>
      </c>
      <c r="E28" s="26"/>
      <c r="F28" s="27" t="s">
        <v>47</v>
      </c>
      <c r="G28" s="28"/>
      <c r="H28" s="50">
        <v>0</v>
      </c>
      <c r="I28" s="8"/>
      <c r="K28" s="157" t="str">
        <f>IF(K27&lt;0,"elig","NE")</f>
        <v>NE</v>
      </c>
      <c r="N28" s="144" t="str">
        <f>IF($H$13="Graduate","  Not available for graduate students","")</f>
        <v/>
      </c>
    </row>
    <row r="29" spans="2:14" ht="15.75" x14ac:dyDescent="0.25">
      <c r="B29" s="6"/>
      <c r="C29" s="134" t="s">
        <v>49</v>
      </c>
      <c r="D29" s="51">
        <f>IF(K28="NE",0,K30)</f>
        <v>0</v>
      </c>
      <c r="E29" s="26"/>
      <c r="F29" s="27" t="s">
        <v>48</v>
      </c>
      <c r="G29" s="28"/>
      <c r="H29" s="50">
        <v>0</v>
      </c>
      <c r="I29" s="8"/>
      <c r="K29" s="30">
        <f>ABS(K27)</f>
        <v>731.5</v>
      </c>
      <c r="L29" s="2" t="s">
        <v>44</v>
      </c>
      <c r="N29" s="144" t="str">
        <f>IF($H$13="Graduate","  Not available for graduate students","")</f>
        <v/>
      </c>
    </row>
    <row r="30" spans="2:14" ht="15.75" x14ac:dyDescent="0.25">
      <c r="B30" s="6"/>
      <c r="C30" s="134" t="s">
        <v>24</v>
      </c>
      <c r="D30" s="51">
        <f>VLOOKUP(D15,Validation!A8:B14,2,FALSE)</f>
        <v>0</v>
      </c>
      <c r="E30" s="26"/>
      <c r="F30" s="27" t="s">
        <v>38</v>
      </c>
      <c r="G30" s="28"/>
      <c r="H30" s="50">
        <v>0</v>
      </c>
      <c r="I30" s="8"/>
      <c r="K30" s="30">
        <f>IF(H19="",0,MIN(K29,H19))</f>
        <v>0</v>
      </c>
      <c r="L30" s="2" t="s">
        <v>45</v>
      </c>
      <c r="N30" s="144" t="str">
        <f>IF($H$13="Graduate","  Not available for graduate students","")</f>
        <v/>
      </c>
    </row>
    <row r="31" spans="2:14" ht="15.75" x14ac:dyDescent="0.25">
      <c r="B31" s="6"/>
      <c r="C31" s="134" t="s">
        <v>9</v>
      </c>
      <c r="D31" s="51">
        <f>VLOOKUP(D17,Validation!A18:B24,2,FALSE)</f>
        <v>0</v>
      </c>
      <c r="E31" s="26"/>
      <c r="F31" s="27" t="s">
        <v>39</v>
      </c>
      <c r="G31" s="28"/>
      <c r="H31" s="50">
        <v>0</v>
      </c>
      <c r="I31" s="8"/>
    </row>
    <row r="32" spans="2:14" ht="15.75" x14ac:dyDescent="0.25">
      <c r="B32" s="6"/>
      <c r="C32" s="134" t="s">
        <v>46</v>
      </c>
      <c r="D32" s="50">
        <v>0</v>
      </c>
      <c r="E32" s="26"/>
      <c r="F32" s="27" t="s">
        <v>58</v>
      </c>
      <c r="G32" s="28"/>
      <c r="H32" s="50">
        <v>0</v>
      </c>
      <c r="I32" s="8"/>
      <c r="N32" s="144" t="str">
        <f>IF($H$13="Graduate","  Not available for graduate students","")</f>
        <v/>
      </c>
    </row>
    <row r="33" spans="2:14" ht="15.75" x14ac:dyDescent="0.25">
      <c r="B33" s="6"/>
      <c r="C33" s="27" t="s">
        <v>34</v>
      </c>
      <c r="D33" s="50">
        <v>0</v>
      </c>
      <c r="E33" s="26"/>
      <c r="F33" s="27" t="s">
        <v>59</v>
      </c>
      <c r="G33" s="28"/>
      <c r="H33" s="50">
        <v>0</v>
      </c>
      <c r="I33" s="8"/>
      <c r="K33" s="29"/>
    </row>
    <row r="34" spans="2:14" ht="15.75" x14ac:dyDescent="0.25">
      <c r="B34" s="6"/>
      <c r="C34" s="27" t="s">
        <v>34</v>
      </c>
      <c r="D34" s="50">
        <v>0</v>
      </c>
      <c r="E34" s="26"/>
      <c r="F34" s="27" t="s">
        <v>60</v>
      </c>
      <c r="G34" s="28"/>
      <c r="H34" s="50">
        <v>0</v>
      </c>
      <c r="I34" s="8"/>
    </row>
    <row r="35" spans="2:14" ht="15.75" x14ac:dyDescent="0.25">
      <c r="B35" s="6"/>
      <c r="C35" s="27" t="s">
        <v>34</v>
      </c>
      <c r="D35" s="50">
        <v>0</v>
      </c>
      <c r="E35" s="26"/>
      <c r="F35" s="27" t="s">
        <v>98</v>
      </c>
      <c r="G35" s="28"/>
      <c r="H35" s="50">
        <v>0</v>
      </c>
      <c r="I35" s="8"/>
    </row>
    <row r="36" spans="2:14" ht="15.75" x14ac:dyDescent="0.25">
      <c r="B36" s="6"/>
      <c r="C36" s="27" t="s">
        <v>34</v>
      </c>
      <c r="D36" s="50">
        <v>0</v>
      </c>
      <c r="E36" s="26"/>
      <c r="F36" s="27" t="s">
        <v>124</v>
      </c>
      <c r="G36" s="28"/>
      <c r="H36" s="50">
        <v>0</v>
      </c>
      <c r="I36" s="8"/>
    </row>
    <row r="37" spans="2:14" ht="15.75" x14ac:dyDescent="0.25">
      <c r="B37" s="6"/>
      <c r="C37" s="27" t="s">
        <v>34</v>
      </c>
      <c r="D37" s="50">
        <v>0</v>
      </c>
      <c r="E37" s="26"/>
      <c r="F37" s="27" t="s">
        <v>99</v>
      </c>
      <c r="G37" s="28"/>
      <c r="H37" s="50">
        <v>0</v>
      </c>
      <c r="I37" s="8"/>
      <c r="K37" s="151" t="s">
        <v>112</v>
      </c>
      <c r="L37" s="151"/>
    </row>
    <row r="38" spans="2:14" ht="15.75" x14ac:dyDescent="0.25">
      <c r="B38" s="6"/>
      <c r="C38" s="27" t="s">
        <v>34</v>
      </c>
      <c r="D38" s="50">
        <v>0</v>
      </c>
      <c r="E38" s="26"/>
      <c r="F38" s="27" t="s">
        <v>106</v>
      </c>
      <c r="G38" s="26"/>
      <c r="H38" s="58">
        <f>IF(K40&gt;0,K40,0)</f>
        <v>3535</v>
      </c>
      <c r="I38" s="8"/>
      <c r="K38" s="152">
        <f>IF(K19&lt;&gt;"Not EXSC Elig",($D$25-$H$25-$H$26-$H$27-$H$28-$H$29-$H$30-$H$31-$H$37-$K$44),0)</f>
        <v>3535</v>
      </c>
      <c r="L38" s="2" t="s">
        <v>110</v>
      </c>
      <c r="N38" s="144" t="str">
        <f>IF($H$13="Graduate","  Not available for graduate students","")</f>
        <v/>
      </c>
    </row>
    <row r="39" spans="2:14" ht="15.75" x14ac:dyDescent="0.25">
      <c r="B39" s="6"/>
      <c r="C39" s="27" t="s">
        <v>34</v>
      </c>
      <c r="D39" s="50">
        <v>0</v>
      </c>
      <c r="E39" s="26"/>
      <c r="F39" s="27" t="s">
        <v>31</v>
      </c>
      <c r="G39" s="26"/>
      <c r="H39" s="58">
        <f>IF($D$21="none",0,Validation!$C$58)</f>
        <v>0</v>
      </c>
      <c r="I39" s="8"/>
      <c r="K39" s="152">
        <f>VLOOKUP($D$19,Validation!$G$3:$K$14,5,FALSE)</f>
        <v>0</v>
      </c>
      <c r="L39" s="2" t="s">
        <v>111</v>
      </c>
    </row>
    <row r="40" spans="2:14" ht="15.75" x14ac:dyDescent="0.25">
      <c r="B40" s="6"/>
      <c r="C40" s="7"/>
      <c r="D40" s="7"/>
      <c r="E40" s="26"/>
      <c r="F40" s="27" t="s">
        <v>57</v>
      </c>
      <c r="G40" s="28"/>
      <c r="H40" s="58">
        <f>-ROUNDUP((H32*Validation!E19+BillEstimator!H33*Validation!E19+BillEstimator!H34*Validation!E20),0)</f>
        <v>0</v>
      </c>
      <c r="I40" s="8"/>
      <c r="K40" s="152">
        <f>K38+K39</f>
        <v>3535</v>
      </c>
      <c r="L40" s="2" t="s">
        <v>113</v>
      </c>
    </row>
    <row r="41" spans="2:14" ht="7.5" customHeight="1" thickBot="1" x14ac:dyDescent="0.3">
      <c r="B41" s="6"/>
      <c r="C41" s="7"/>
      <c r="D41" s="7"/>
      <c r="E41" s="7"/>
      <c r="F41" s="7"/>
      <c r="G41" s="7"/>
      <c r="H41" s="7"/>
      <c r="I41" s="8"/>
      <c r="K41" s="152"/>
    </row>
    <row r="42" spans="2:14" s="37" customFormat="1" ht="21" customHeight="1" thickTop="1" thickBot="1" x14ac:dyDescent="0.3">
      <c r="B42" s="31"/>
      <c r="C42" s="32" t="s">
        <v>50</v>
      </c>
      <c r="D42" s="56">
        <f>SUM(D25:D39)</f>
        <v>4266.5</v>
      </c>
      <c r="E42" s="33"/>
      <c r="F42" s="32" t="s">
        <v>51</v>
      </c>
      <c r="G42" s="34"/>
      <c r="H42" s="55">
        <f>SUM(H25:H40)</f>
        <v>3535</v>
      </c>
      <c r="I42" s="35"/>
      <c r="J42" s="36"/>
      <c r="K42" s="153">
        <f>D25+D27</f>
        <v>3535</v>
      </c>
      <c r="L42" s="36" t="s">
        <v>114</v>
      </c>
      <c r="M42" s="36"/>
      <c r="N42" s="145"/>
    </row>
    <row r="43" spans="2:14" ht="12" customHeight="1" thickTop="1" thickBot="1" x14ac:dyDescent="0.3">
      <c r="B43" s="6"/>
      <c r="C43" s="7"/>
      <c r="D43" s="7"/>
      <c r="E43" s="7"/>
      <c r="F43" s="7"/>
      <c r="G43" s="7"/>
      <c r="H43" s="7"/>
      <c r="I43" s="8"/>
    </row>
    <row r="44" spans="2:14" s="25" customFormat="1" ht="20.25" customHeight="1" thickBot="1" x14ac:dyDescent="0.3">
      <c r="B44" s="19"/>
      <c r="C44" s="22"/>
      <c r="D44" s="20" t="s">
        <v>52</v>
      </c>
      <c r="E44" s="38"/>
      <c r="F44" s="21"/>
      <c r="G44" s="22"/>
      <c r="H44" s="22"/>
      <c r="I44" s="24"/>
      <c r="J44" s="39"/>
      <c r="K44" s="160">
        <f>IF(AND(Validation!B58&gt;1,Validation!B58&lt;9),Validation!C58,0)</f>
        <v>0</v>
      </c>
      <c r="L44" s="39" t="s">
        <v>125</v>
      </c>
      <c r="M44" s="39"/>
      <c r="N44" s="146"/>
    </row>
    <row r="45" spans="2:14" ht="8.25" customHeight="1" x14ac:dyDescent="0.25">
      <c r="B45" s="6"/>
      <c r="C45" s="7"/>
      <c r="D45" s="7"/>
      <c r="E45" s="7"/>
      <c r="F45" s="40"/>
      <c r="G45" s="7"/>
      <c r="H45" s="7"/>
      <c r="I45" s="8"/>
    </row>
    <row r="46" spans="2:14" ht="15.75" x14ac:dyDescent="0.25">
      <c r="B46" s="6"/>
      <c r="C46" s="7"/>
      <c r="D46" s="59" t="s">
        <v>30</v>
      </c>
      <c r="E46" s="7"/>
      <c r="F46" s="52">
        <f>D42</f>
        <v>4266.5</v>
      </c>
      <c r="G46" s="7"/>
      <c r="H46" s="7"/>
      <c r="I46" s="8"/>
    </row>
    <row r="47" spans="2:14" ht="15.75" x14ac:dyDescent="0.25">
      <c r="B47" s="6"/>
      <c r="C47" s="7"/>
      <c r="D47" s="59" t="s">
        <v>32</v>
      </c>
      <c r="E47" s="7"/>
      <c r="F47" s="161">
        <f>-H42</f>
        <v>-3535</v>
      </c>
      <c r="G47" s="7"/>
      <c r="H47" s="7"/>
      <c r="I47" s="8"/>
    </row>
    <row r="48" spans="2:14" ht="4.5" customHeight="1" thickBot="1" x14ac:dyDescent="0.3">
      <c r="B48" s="6"/>
      <c r="C48" s="7"/>
      <c r="D48" s="27"/>
      <c r="E48" s="7"/>
      <c r="F48" s="53"/>
      <c r="G48" s="7"/>
      <c r="H48" s="7"/>
      <c r="I48" s="8"/>
    </row>
    <row r="49" spans="2:14" s="46" customFormat="1" ht="19.5" customHeight="1" thickTop="1" thickBot="1" x14ac:dyDescent="0.3">
      <c r="B49" s="41"/>
      <c r="C49" s="42"/>
      <c r="D49" s="131" t="str">
        <f>IF(F49&lt;0,"Refund for semester",IF(F49&gt;0,"Amount owed for semester:","Balance / (Refund)"))</f>
        <v>Amount owed for semester:</v>
      </c>
      <c r="E49" s="43"/>
      <c r="F49" s="54">
        <f>F46+F47</f>
        <v>731.5</v>
      </c>
      <c r="G49" s="42"/>
      <c r="H49" s="42"/>
      <c r="I49" s="44"/>
      <c r="J49" s="45"/>
      <c r="K49" s="45"/>
      <c r="L49" s="45"/>
      <c r="M49" s="45"/>
      <c r="N49" s="147"/>
    </row>
    <row r="50" spans="2:14" s="46" customFormat="1" ht="5.25" customHeight="1" thickTop="1" x14ac:dyDescent="0.25">
      <c r="B50" s="41"/>
      <c r="C50" s="57"/>
      <c r="D50" s="57"/>
      <c r="E50" s="57"/>
      <c r="F50" s="57"/>
      <c r="G50" s="57"/>
      <c r="H50" s="57"/>
      <c r="I50" s="44"/>
      <c r="J50" s="45"/>
      <c r="K50" s="45"/>
      <c r="L50" s="45"/>
      <c r="M50" s="45"/>
      <c r="N50" s="147"/>
    </row>
    <row r="51" spans="2:14" s="46" customFormat="1" ht="15.75" customHeight="1" x14ac:dyDescent="0.25">
      <c r="B51" s="41"/>
      <c r="C51" s="47"/>
      <c r="D51" s="42"/>
      <c r="E51" s="42"/>
      <c r="F51" s="42"/>
      <c r="G51" s="42"/>
      <c r="H51" s="42"/>
      <c r="I51" s="44"/>
      <c r="J51" s="45"/>
      <c r="K51" s="45"/>
      <c r="L51" s="45"/>
      <c r="M51" s="45"/>
      <c r="N51" s="147"/>
    </row>
    <row r="52" spans="2:14" s="46" customFormat="1" ht="15.75" customHeight="1" x14ac:dyDescent="0.25">
      <c r="B52" s="41"/>
      <c r="C52" s="47"/>
      <c r="D52" s="42"/>
      <c r="E52" s="42"/>
      <c r="F52" s="42"/>
      <c r="G52" s="42"/>
      <c r="H52" s="42"/>
      <c r="I52" s="44"/>
      <c r="J52" s="45"/>
      <c r="K52" s="45"/>
      <c r="L52" s="45"/>
      <c r="M52" s="45"/>
      <c r="N52" s="147"/>
    </row>
    <row r="53" spans="2:14" s="46" customFormat="1" ht="15.75" customHeight="1" x14ac:dyDescent="0.25">
      <c r="B53" s="41"/>
      <c r="C53" s="47"/>
      <c r="D53" s="42"/>
      <c r="E53" s="42"/>
      <c r="F53" s="42"/>
      <c r="G53" s="42"/>
      <c r="H53" s="42"/>
      <c r="I53" s="44"/>
      <c r="J53" s="45"/>
      <c r="K53" s="45"/>
      <c r="L53" s="45"/>
      <c r="M53" s="45"/>
      <c r="N53" s="147"/>
    </row>
    <row r="54" spans="2:14" s="46" customFormat="1" ht="14.25" customHeight="1" x14ac:dyDescent="0.25">
      <c r="B54" s="41"/>
      <c r="C54" s="47"/>
      <c r="D54" s="42"/>
      <c r="E54" s="42"/>
      <c r="F54" s="42"/>
      <c r="G54" s="42"/>
      <c r="H54" s="42"/>
      <c r="I54" s="44"/>
      <c r="J54" s="45"/>
      <c r="K54" s="45"/>
      <c r="L54" s="45"/>
      <c r="M54" s="45"/>
      <c r="N54" s="147"/>
    </row>
    <row r="55" spans="2:14" s="46" customFormat="1" ht="15.75" customHeight="1" x14ac:dyDescent="0.25">
      <c r="B55" s="41"/>
      <c r="C55" s="47"/>
      <c r="D55" s="42"/>
      <c r="E55" s="42"/>
      <c r="F55" s="42"/>
      <c r="G55" s="42"/>
      <c r="H55" s="42"/>
      <c r="I55" s="44"/>
      <c r="J55" s="45"/>
      <c r="K55" s="45"/>
      <c r="L55" s="45"/>
      <c r="M55" s="45"/>
      <c r="N55" s="147"/>
    </row>
    <row r="56" spans="2:14" s="46" customFormat="1" ht="15" customHeight="1" x14ac:dyDescent="0.25">
      <c r="B56" s="41"/>
      <c r="C56" s="47"/>
      <c r="D56" s="42"/>
      <c r="E56" s="42"/>
      <c r="F56" s="42"/>
      <c r="G56" s="42"/>
      <c r="H56" s="42"/>
      <c r="I56" s="44"/>
      <c r="J56" s="45"/>
      <c r="K56" s="45"/>
      <c r="L56" s="45"/>
      <c r="M56" s="45"/>
      <c r="N56" s="147"/>
    </row>
    <row r="57" spans="2:14" s="46" customFormat="1" ht="15" customHeight="1" x14ac:dyDescent="0.25">
      <c r="B57" s="41"/>
      <c r="C57" s="47"/>
      <c r="D57" s="42"/>
      <c r="E57" s="42"/>
      <c r="F57" s="42"/>
      <c r="G57" s="42"/>
      <c r="H57" s="42"/>
      <c r="I57" s="44"/>
      <c r="J57" s="45"/>
      <c r="K57" s="45"/>
      <c r="L57" s="45"/>
      <c r="M57" s="45"/>
      <c r="N57" s="147"/>
    </row>
    <row r="58" spans="2:14" s="46" customFormat="1" ht="27" customHeight="1" x14ac:dyDescent="0.25">
      <c r="B58" s="41"/>
      <c r="C58" s="42"/>
      <c r="D58" s="42"/>
      <c r="E58" s="42"/>
      <c r="F58" s="42"/>
      <c r="G58" s="42"/>
      <c r="H58" s="42"/>
      <c r="I58" s="44"/>
      <c r="J58" s="45"/>
      <c r="K58" s="45"/>
      <c r="L58" s="45"/>
      <c r="M58" s="45"/>
      <c r="N58" s="147"/>
    </row>
    <row r="59" spans="2:14" s="140" customFormat="1" ht="62.25" customHeight="1" x14ac:dyDescent="0.3">
      <c r="B59" s="135"/>
      <c r="C59" s="60" t="s">
        <v>148</v>
      </c>
      <c r="D59" s="136"/>
      <c r="E59" s="136"/>
      <c r="F59" s="136"/>
      <c r="G59" s="136"/>
      <c r="H59" s="137" t="s">
        <v>134</v>
      </c>
      <c r="I59" s="138"/>
      <c r="J59" s="139"/>
      <c r="K59" s="139"/>
      <c r="L59" s="139"/>
      <c r="M59" s="139"/>
      <c r="N59" s="148"/>
    </row>
    <row r="60" spans="2:14" ht="7.5" customHeight="1" thickBot="1" x14ac:dyDescent="0.3">
      <c r="B60" s="6"/>
      <c r="C60" s="7"/>
      <c r="D60" s="7"/>
      <c r="E60" s="7"/>
      <c r="F60" s="7"/>
      <c r="G60" s="7"/>
      <c r="H60" s="7"/>
      <c r="I60" s="8"/>
    </row>
    <row r="61" spans="2:14" x14ac:dyDescent="0.25">
      <c r="B61" s="141"/>
      <c r="C61" s="141"/>
      <c r="D61" s="141"/>
      <c r="E61" s="141"/>
      <c r="F61" s="141"/>
      <c r="G61" s="141"/>
      <c r="H61" s="141"/>
      <c r="I61" s="141"/>
    </row>
  </sheetData>
  <sheetProtection algorithmName="SHA-512" hashValue="I7QkFgvzHNA9qEWge1qtYbAsdlK5j+Xq5c6fYxPGmG4q9HVxL5qCx4nXI/gf7WeOoHtv8+C5kDWRwVkfVB8TwA==" saltValue="tJp/+/eQqFSgiKHyLZ1Vjw==" spinCount="100000" sheet="1" objects="1" scenarios="1"/>
  <mergeCells count="1">
    <mergeCell ref="N15:N21"/>
  </mergeCells>
  <conditionalFormatting sqref="D49">
    <cfRule type="expression" dxfId="1" priority="2">
      <formula>$F$49&gt;0</formula>
    </cfRule>
  </conditionalFormatting>
  <conditionalFormatting sqref="F49">
    <cfRule type="expression" dxfId="0" priority="1">
      <formula>$F$49&lt;0</formula>
    </cfRule>
  </conditionalFormatting>
  <dataValidations xWindow="448" yWindow="457" count="16">
    <dataValidation type="decimal" showInputMessage="1" showErrorMessage="1" errorTitle="Warning" error="Enter a number between 0 and 750." prompt="Enter amount up to $750.  Only eligible amount will be displayed in charges below.  See Footnote #7 for more information." sqref="H19" xr:uid="{00000000-0002-0000-0000-000000000000}">
      <formula1>0</formula1>
      <formula2>750</formula2>
    </dataValidation>
    <dataValidation type="decimal" allowBlank="1" showInputMessage="1" showErrorMessage="1" errorTitle="Error" error="Maximum Pell grant is $3,698 per semester." sqref="H25" xr:uid="{00000000-0002-0000-0000-000001000000}">
      <formula1>0</formula1>
      <formula2>3698</formula2>
    </dataValidation>
    <dataValidation allowBlank="1" showInputMessage="1" showErrorMessage="1" prompt="Enter amount up to $750.  Only eligible amount will be displayed in charges below.  See Footnote #5 for more information." sqref="H22 D20 F19" xr:uid="{00000000-0002-0000-0000-000002000000}"/>
    <dataValidation type="decimal" allowBlank="1" showInputMessage="1" showErrorMessage="1" errorTitle="error" error="Enter an amount between $0 and $5,000." sqref="D32:D37" xr:uid="{00000000-0002-0000-0000-000003000000}">
      <formula1>0</formula1>
      <formula2>5000</formula2>
    </dataValidation>
    <dataValidation type="decimal" allowBlank="1" showInputMessage="1" showErrorMessage="1" errorTitle="error" error="Enter amount between 0 and 2,000" sqref="H27" xr:uid="{00000000-0002-0000-0000-000004000000}">
      <formula1>0</formula1>
      <formula2>2000</formula2>
    </dataValidation>
    <dataValidation type="decimal" allowBlank="1" showInputMessage="1" showErrorMessage="1" errorTitle="error" error="Enter amount between $0 and $2,833." sqref="H28" xr:uid="{00000000-0002-0000-0000-000005000000}">
      <formula1>0</formula1>
      <formula2>2833</formula2>
    </dataValidation>
    <dataValidation type="decimal" allowBlank="1" showInputMessage="1" showErrorMessage="1" errorTitle="error" error="Enter amount between $0 and $1,500." sqref="H29" xr:uid="{00000000-0002-0000-0000-000006000000}">
      <formula1>0</formula1>
      <formula2>1500</formula2>
    </dataValidation>
    <dataValidation type="decimal" allowBlank="1" showInputMessage="1" showErrorMessage="1" errorTitle="error" error="Review subsidized loan limits:_x000a_Freshmen: $3,500 per year or $1,750 per semster_x000a_Sophomore: $4,500 per year or $2,250 per semester_x000a_Juniors: $5,500 per year or $2,750 per semester_x000a_Seniors: $5,500 per year or $2,750 per semester_x000a_" sqref="H32" xr:uid="{00000000-0002-0000-0000-000007000000}">
      <formula1>0</formula1>
      <formula2>5500</formula2>
    </dataValidation>
    <dataValidation type="decimal" allowBlank="1" showInputMessage="1" showErrorMessage="1" errorTitle="Error" error="Enter an amount between 0 and $1,800." sqref="H31" xr:uid="{00000000-0002-0000-0000-000008000000}">
      <formula1>0</formula1>
      <formula2>3600</formula2>
    </dataValidation>
    <dataValidation type="decimal" allowBlank="1" showInputMessage="1" showErrorMessage="1" errorTitle="Error" error="Enter an amount between $0 and $40,000." sqref="H34" xr:uid="{00000000-0002-0000-0000-000009000000}">
      <formula1>0</formula1>
      <formula2>40000</formula2>
    </dataValidation>
    <dataValidation type="decimal" allowBlank="1" showInputMessage="1" showErrorMessage="1" errorTitle="Error with SEOG Amount" error="Please enter an amount between $0 and $250." sqref="H26" xr:uid="{00000000-0002-0000-0000-00000A000000}">
      <formula1>0</formula1>
      <formula2>250</formula2>
    </dataValidation>
    <dataValidation allowBlank="1" showInputMessage="1" showErrorMessage="1" errorTitle="error" error="Enter an amount between $0 and $5,000." sqref="D27" xr:uid="{3DA705A9-E2EB-40A8-A576-997A3667ACCB}"/>
    <dataValidation type="decimal" allowBlank="1" showInputMessage="1" showErrorMessage="1" sqref="H37" xr:uid="{BB519747-B01B-499F-B511-C288CD4E81D2}">
      <formula1>0</formula1>
      <formula2>30000</formula2>
    </dataValidation>
    <dataValidation type="decimal" allowBlank="1" showInputMessage="1" showErrorMessage="1" error="Enter an amount between $0 and $1,500." sqref="H30" xr:uid="{749F4F73-F9F2-40FA-B878-8086AD258D15}">
      <formula1>0</formula1>
      <formula2>1500</formula2>
    </dataValidation>
    <dataValidation type="decimal" allowBlank="1" showInputMessage="1" showErrorMessage="1" sqref="H33" xr:uid="{A5A5853E-1116-4BA4-8DBB-7C936872FD11}">
      <formula1>0</formula1>
      <formula2>20500</formula2>
    </dataValidation>
    <dataValidation type="decimal" allowBlank="1" showInputMessage="1" showErrorMessage="1" sqref="H35 H36" xr:uid="{7CCCA4EE-92E4-4240-99F1-126F0D02C750}">
      <formula1>0</formula1>
      <formula2>40000</formula2>
    </dataValidation>
  </dataValidations>
  <hyperlinks>
    <hyperlink ref="C25" r:id="rId1" xr:uid="{00000000-0004-0000-0000-000000000000}"/>
    <hyperlink ref="C26" r:id="rId2" xr:uid="{00000000-0004-0000-0000-000001000000}"/>
    <hyperlink ref="C30:C31" r:id="rId3" display="Housing" xr:uid="{00000000-0004-0000-0000-000002000000}"/>
    <hyperlink ref="C29" r:id="rId4" xr:uid="{00000000-0004-0000-0000-000003000000}"/>
    <hyperlink ref="C28" r:id="rId5" xr:uid="{00000000-0004-0000-0000-000005000000}"/>
    <hyperlink ref="C13" r:id="rId6" xr:uid="{00000000-0004-0000-0000-000007000000}"/>
    <hyperlink ref="C21" r:id="rId7" xr:uid="{00000000-0004-0000-0000-000008000000}"/>
    <hyperlink ref="C15" r:id="rId8" display="Housing Status1" xr:uid="{00000000-0004-0000-0000-00000A000000}"/>
    <hyperlink ref="F17" r:id="rId9" xr:uid="{00000000-0004-0000-0000-00000D000000}"/>
    <hyperlink ref="F19" r:id="rId10" xr:uid="{00000000-0004-0000-0000-00000E000000}"/>
    <hyperlink ref="C31" r:id="rId11" xr:uid="{00000000-0004-0000-0000-00000F000000}"/>
    <hyperlink ref="C30" r:id="rId12" xr:uid="{00000000-0004-0000-0000-000010000000}"/>
    <hyperlink ref="C32" r:id="rId13" xr:uid="{090931E2-F2F8-4532-B976-424D23EEBBA5}"/>
    <hyperlink ref="F15" r:id="rId14" xr:uid="{B91A4171-17D5-4069-A056-F24C30EDCE0D}"/>
    <hyperlink ref="H3" r:id="rId15" xr:uid="{8523DC36-5317-4542-AD50-C2EEE1C2EF8B}"/>
    <hyperlink ref="C17" r:id="rId16" xr:uid="{00000000-0004-0000-0000-00000B000000}"/>
  </hyperlinks>
  <printOptions horizontalCentered="1"/>
  <pageMargins left="0.25" right="0.25" top="0.25" bottom="0.25" header="0" footer="0.25"/>
  <pageSetup scale="89" orientation="portrait" r:id="rId17"/>
  <headerFooter>
    <oddFooter xml:space="preserve">&amp;R
</oddFooter>
  </headerFooter>
  <drawing r:id="rId18"/>
  <legacyDrawing r:id="rId19"/>
  <extLst>
    <ext xmlns:x14="http://schemas.microsoft.com/office/spreadsheetml/2009/9/main" uri="{CCE6A557-97BC-4b89-ADB6-D9C93CAAB3DF}">
      <x14:dataValidations xmlns:xm="http://schemas.microsoft.com/office/excel/2006/main" xWindow="448" yWindow="457" count="9">
        <x14:dataValidation type="list" allowBlank="1" showInputMessage="1" showErrorMessage="1" prompt="Select &quot;Out-of-State&quot; or &quot;In-State&quot;" xr:uid="{00000000-0002-0000-0000-00000B000000}">
          <x14:formula1>
            <xm:f>Validation!$A$3:$A$4</xm:f>
          </x14:formula1>
          <xm:sqref>D13</xm:sqref>
        </x14:dataValidation>
        <x14:dataValidation type="list" allowBlank="1" showInputMessage="1" showErrorMessage="1" xr:uid="{00000000-0002-0000-0000-00000C000000}">
          <x14:formula1>
            <xm:f>Validation!$G$3:$G$14</xm:f>
          </x14:formula1>
          <xm:sqref>D19</xm:sqref>
        </x14:dataValidation>
        <x14:dataValidation type="list" allowBlank="1" showInputMessage="1" showErrorMessage="1" xr:uid="{00000000-0002-0000-0000-00000D000000}">
          <x14:formula1>
            <xm:f>Validation!$B$3:$B$4</xm:f>
          </x14:formula1>
          <xm:sqref>H13</xm:sqref>
        </x14:dataValidation>
        <x14:dataValidation type="list" allowBlank="1" showInputMessage="1" showErrorMessage="1" xr:uid="{00000000-0002-0000-0000-00000E000000}">
          <x14:formula1>
            <xm:f>Validation!$E$3:$E$4</xm:f>
          </x14:formula1>
          <xm:sqref>H17</xm:sqref>
        </x14:dataValidation>
        <x14:dataValidation type="list" allowBlank="1" showInputMessage="1" showErrorMessage="1" prompt="Veterans and Dependents of Veterans Only:  Enter the type of veterans benefits you intend to use." xr:uid="{00000000-0002-0000-0000-000010000000}">
          <x14:formula1>
            <xm:f>Validation!$H$3:$H$16</xm:f>
          </x14:formula1>
          <xm:sqref>D21</xm:sqref>
        </x14:dataValidation>
        <x14:dataValidation type="list" allowBlank="1" showInputMessage="1" showErrorMessage="1" prompt="Select expected meal plan." xr:uid="{00000000-0002-0000-0000-000013000000}">
          <x14:formula1>
            <xm:f>Validation!$A$18:$A$24</xm:f>
          </x14:formula1>
          <xm:sqref>D17</xm:sqref>
        </x14:dataValidation>
        <x14:dataValidation type="list" allowBlank="1" showInputMessage="1" showErrorMessage="1" xr:uid="{C533C09C-8753-411C-A2B6-385666F20E3A}">
          <x14:formula1>
            <xm:f>Validation!$J$3:$J$5</xm:f>
          </x14:formula1>
          <xm:sqref>H15</xm:sqref>
        </x14:dataValidation>
        <x14:dataValidation type="list" allowBlank="1" showInputMessage="1" showErrorMessage="1" xr:uid="{00000000-0002-0000-0000-000011000000}">
          <x14:formula1>
            <xm:f>Validation!$A$8:$A$14</xm:f>
          </x14:formula1>
          <xm:sqref>D18</xm:sqref>
        </x14:dataValidation>
        <x14:dataValidation type="list" allowBlank="1" showInputMessage="1" showErrorMessage="1" prompt="Select expected housing option.  If not living on campus, choose &quot;off-campus&quot;" xr:uid="{00000000-0002-0000-0000-000012000000}">
          <x14:formula1>
            <xm:f>Validation!$A$8:$A$14</xm:f>
          </x14:formula1>
          <xm:sqref>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0"/>
  <sheetViews>
    <sheetView zoomScale="80" zoomScaleNormal="80" workbookViewId="0">
      <selection activeCell="F30" sqref="F30"/>
    </sheetView>
  </sheetViews>
  <sheetFormatPr defaultRowHeight="15" x14ac:dyDescent="0.25"/>
  <cols>
    <col min="1" max="1" width="25.28515625" style="7" customWidth="1"/>
    <col min="2" max="2" width="18" style="7" customWidth="1"/>
    <col min="3" max="3" width="18.140625" style="7" customWidth="1"/>
    <col min="4" max="4" width="16" style="7" customWidth="1"/>
    <col min="5" max="5" width="15.85546875" style="7" bestFit="1" customWidth="1"/>
    <col min="6" max="6" width="15.85546875" style="7" customWidth="1"/>
    <col min="7" max="7" width="15.7109375" style="7" bestFit="1" customWidth="1"/>
    <col min="8" max="8" width="21.85546875" style="7" bestFit="1" customWidth="1"/>
    <col min="9" max="9" width="14.7109375" style="7" bestFit="1" customWidth="1"/>
    <col min="10" max="10" width="19.7109375" style="7" bestFit="1" customWidth="1"/>
    <col min="11" max="11" width="13.28515625" style="7" bestFit="1" customWidth="1"/>
    <col min="12" max="12" width="9.7109375" style="7" bestFit="1" customWidth="1"/>
    <col min="13" max="13" width="10" style="7" bestFit="1" customWidth="1"/>
    <col min="14" max="14" width="10.7109375" style="7" customWidth="1"/>
    <col min="15" max="16384" width="9.140625" style="7"/>
  </cols>
  <sheetData>
    <row r="1" spans="1:12" ht="15.75" thickBot="1" x14ac:dyDescent="0.3"/>
    <row r="2" spans="1:12" ht="15.75" thickBot="1" x14ac:dyDescent="0.3">
      <c r="A2" s="112" t="s">
        <v>0</v>
      </c>
      <c r="B2" s="113" t="s">
        <v>4</v>
      </c>
      <c r="C2" s="114" t="s">
        <v>26</v>
      </c>
      <c r="D2" s="115" t="s">
        <v>84</v>
      </c>
      <c r="E2" s="116" t="s">
        <v>28</v>
      </c>
      <c r="F2" s="117" t="s">
        <v>84</v>
      </c>
      <c r="G2" s="118" t="s">
        <v>6</v>
      </c>
      <c r="H2" s="119" t="s">
        <v>88</v>
      </c>
      <c r="J2" s="113" t="s">
        <v>96</v>
      </c>
      <c r="K2" s="113" t="s">
        <v>100</v>
      </c>
    </row>
    <row r="3" spans="1:12" x14ac:dyDescent="0.25">
      <c r="A3" s="73" t="s">
        <v>1</v>
      </c>
      <c r="B3" s="75" t="s">
        <v>5</v>
      </c>
      <c r="C3" s="79" t="s">
        <v>95</v>
      </c>
      <c r="D3" s="79">
        <v>1662</v>
      </c>
      <c r="E3" s="81" t="s">
        <v>29</v>
      </c>
      <c r="F3" s="81">
        <v>70</v>
      </c>
      <c r="G3" s="82" t="s">
        <v>7</v>
      </c>
      <c r="H3" s="75" t="s">
        <v>69</v>
      </c>
      <c r="I3" s="75"/>
      <c r="J3" s="73" t="s">
        <v>97</v>
      </c>
      <c r="K3" s="149"/>
      <c r="L3" s="7" t="s">
        <v>130</v>
      </c>
    </row>
    <row r="4" spans="1:12" x14ac:dyDescent="0.25">
      <c r="A4" s="73" t="s">
        <v>2</v>
      </c>
      <c r="B4" s="75" t="s">
        <v>23</v>
      </c>
      <c r="C4" s="79" t="s">
        <v>94</v>
      </c>
      <c r="D4" s="79">
        <v>938</v>
      </c>
      <c r="E4" s="81" t="s">
        <v>27</v>
      </c>
      <c r="F4" s="81">
        <v>0</v>
      </c>
      <c r="G4" s="82">
        <v>11</v>
      </c>
      <c r="H4" s="75" t="s">
        <v>71</v>
      </c>
      <c r="I4" s="75">
        <v>2</v>
      </c>
      <c r="J4" s="73" t="s">
        <v>104</v>
      </c>
      <c r="K4" s="149"/>
    </row>
    <row r="5" spans="1:12" x14ac:dyDescent="0.25">
      <c r="C5" s="79" t="s">
        <v>93</v>
      </c>
      <c r="D5" s="79">
        <v>0</v>
      </c>
      <c r="G5" s="82">
        <f t="shared" ref="G5:G14" si="0">G4-1</f>
        <v>10</v>
      </c>
      <c r="H5" s="75" t="s">
        <v>72</v>
      </c>
      <c r="I5" s="75">
        <v>3</v>
      </c>
      <c r="J5" s="73" t="s">
        <v>93</v>
      </c>
      <c r="K5" s="149"/>
    </row>
    <row r="6" spans="1:12" x14ac:dyDescent="0.25">
      <c r="G6" s="82">
        <f t="shared" si="0"/>
        <v>9</v>
      </c>
      <c r="H6" s="75" t="s">
        <v>73</v>
      </c>
      <c r="I6" s="75">
        <v>4</v>
      </c>
      <c r="J6" s="73"/>
      <c r="K6" s="149"/>
    </row>
    <row r="7" spans="1:12" x14ac:dyDescent="0.25">
      <c r="A7" s="72" t="s">
        <v>24</v>
      </c>
      <c r="B7" s="72" t="s">
        <v>84</v>
      </c>
      <c r="C7" s="7" t="s">
        <v>141</v>
      </c>
      <c r="G7" s="82">
        <f t="shared" si="0"/>
        <v>8</v>
      </c>
      <c r="H7" s="75" t="s">
        <v>74</v>
      </c>
      <c r="I7" s="75">
        <v>5</v>
      </c>
      <c r="J7" s="73"/>
      <c r="K7" s="149"/>
    </row>
    <row r="8" spans="1:12" x14ac:dyDescent="0.25">
      <c r="A8" s="73" t="s">
        <v>135</v>
      </c>
      <c r="B8" s="84">
        <v>4796</v>
      </c>
      <c r="C8" s="132"/>
      <c r="G8" s="82">
        <f t="shared" si="0"/>
        <v>7</v>
      </c>
      <c r="H8" s="75" t="s">
        <v>75</v>
      </c>
      <c r="I8" s="75">
        <v>6</v>
      </c>
      <c r="J8" s="73"/>
      <c r="K8" s="149"/>
    </row>
    <row r="9" spans="1:12" x14ac:dyDescent="0.25">
      <c r="A9" s="73" t="s">
        <v>136</v>
      </c>
      <c r="B9" s="84">
        <v>5039</v>
      </c>
      <c r="C9" s="132"/>
      <c r="G9" s="82">
        <f>G8-1</f>
        <v>6</v>
      </c>
      <c r="H9" s="75" t="s">
        <v>76</v>
      </c>
      <c r="I9" s="75">
        <v>7</v>
      </c>
      <c r="J9" s="73"/>
      <c r="K9" s="149"/>
    </row>
    <row r="10" spans="1:12" x14ac:dyDescent="0.25">
      <c r="A10" s="73" t="s">
        <v>137</v>
      </c>
      <c r="B10" s="84">
        <v>5474</v>
      </c>
      <c r="C10" s="132"/>
      <c r="G10" s="82">
        <f t="shared" si="0"/>
        <v>5</v>
      </c>
      <c r="H10" s="75" t="s">
        <v>77</v>
      </c>
      <c r="I10" s="75">
        <v>8</v>
      </c>
      <c r="J10" s="73"/>
      <c r="K10" s="149"/>
    </row>
    <row r="11" spans="1:12" x14ac:dyDescent="0.25">
      <c r="A11" s="73" t="s">
        <v>138</v>
      </c>
      <c r="B11" s="84">
        <v>6021</v>
      </c>
      <c r="C11" s="132"/>
      <c r="G11" s="82">
        <f t="shared" si="0"/>
        <v>4</v>
      </c>
      <c r="H11" s="75" t="s">
        <v>78</v>
      </c>
      <c r="I11" s="75">
        <v>11</v>
      </c>
      <c r="J11" s="73"/>
      <c r="K11" s="149"/>
    </row>
    <row r="12" spans="1:12" x14ac:dyDescent="0.25">
      <c r="A12" s="73" t="s">
        <v>139</v>
      </c>
      <c r="B12" s="84">
        <v>6360</v>
      </c>
      <c r="C12" s="132"/>
      <c r="G12" s="82">
        <f t="shared" si="0"/>
        <v>3</v>
      </c>
      <c r="H12" s="75" t="s">
        <v>79</v>
      </c>
      <c r="I12" s="75">
        <v>12</v>
      </c>
      <c r="J12" s="73"/>
      <c r="K12" s="149"/>
    </row>
    <row r="13" spans="1:12" x14ac:dyDescent="0.25">
      <c r="A13" s="73" t="s">
        <v>140</v>
      </c>
      <c r="B13" s="84">
        <v>6182</v>
      </c>
      <c r="C13" s="132"/>
      <c r="G13" s="82">
        <f t="shared" si="0"/>
        <v>2</v>
      </c>
      <c r="H13" s="75" t="s">
        <v>80</v>
      </c>
      <c r="I13" s="75">
        <v>13</v>
      </c>
      <c r="J13" s="73"/>
      <c r="K13" s="149"/>
    </row>
    <row r="14" spans="1:12" x14ac:dyDescent="0.25">
      <c r="A14" s="73" t="s">
        <v>3</v>
      </c>
      <c r="B14" s="84">
        <v>0</v>
      </c>
      <c r="G14" s="82">
        <f t="shared" si="0"/>
        <v>1</v>
      </c>
      <c r="H14" s="75" t="s">
        <v>63</v>
      </c>
      <c r="I14" s="75">
        <v>9</v>
      </c>
      <c r="J14" s="73"/>
      <c r="K14" s="149"/>
    </row>
    <row r="15" spans="1:12" x14ac:dyDescent="0.25">
      <c r="H15" s="75" t="s">
        <v>64</v>
      </c>
      <c r="I15" s="75">
        <v>10</v>
      </c>
    </row>
    <row r="16" spans="1:12" x14ac:dyDescent="0.25">
      <c r="H16" s="75" t="s">
        <v>68</v>
      </c>
      <c r="I16" s="75">
        <v>14</v>
      </c>
    </row>
    <row r="17" spans="1:7" x14ac:dyDescent="0.25">
      <c r="A17" s="74" t="s">
        <v>25</v>
      </c>
      <c r="B17" s="74"/>
      <c r="C17" s="7" t="s">
        <v>146</v>
      </c>
    </row>
    <row r="18" spans="1:7" x14ac:dyDescent="0.25">
      <c r="A18" s="75" t="s">
        <v>142</v>
      </c>
      <c r="B18" s="85">
        <v>3640</v>
      </c>
      <c r="C18" s="132"/>
      <c r="D18" s="76" t="s">
        <v>53</v>
      </c>
      <c r="E18" s="76" t="s">
        <v>55</v>
      </c>
      <c r="F18" s="76" t="s">
        <v>56</v>
      </c>
      <c r="G18" s="7" t="s">
        <v>127</v>
      </c>
    </row>
    <row r="19" spans="1:7" x14ac:dyDescent="0.25">
      <c r="A19" s="75" t="s">
        <v>131</v>
      </c>
      <c r="B19" s="85">
        <v>3605</v>
      </c>
      <c r="C19" s="132"/>
      <c r="D19" s="77" t="s">
        <v>91</v>
      </c>
      <c r="E19" s="77">
        <v>1.057E-2</v>
      </c>
      <c r="F19" s="77">
        <f>1-E19</f>
        <v>0.98943000000000003</v>
      </c>
    </row>
    <row r="20" spans="1:7" x14ac:dyDescent="0.25">
      <c r="A20" s="75" t="s">
        <v>143</v>
      </c>
      <c r="B20" s="85">
        <v>3490</v>
      </c>
      <c r="C20" s="132"/>
      <c r="D20" s="77" t="s">
        <v>54</v>
      </c>
      <c r="E20" s="77">
        <v>4.2279999999999998E-2</v>
      </c>
      <c r="F20" s="77">
        <f>1-E20</f>
        <v>0.95772000000000002</v>
      </c>
    </row>
    <row r="21" spans="1:7" x14ac:dyDescent="0.25">
      <c r="A21" s="75" t="s">
        <v>144</v>
      </c>
      <c r="B21" s="85">
        <v>2635</v>
      </c>
      <c r="C21" s="132"/>
    </row>
    <row r="22" spans="1:7" x14ac:dyDescent="0.25">
      <c r="A22" s="75" t="s">
        <v>132</v>
      </c>
      <c r="B22" s="85">
        <v>1215</v>
      </c>
      <c r="C22" s="132"/>
    </row>
    <row r="23" spans="1:7" x14ac:dyDescent="0.25">
      <c r="A23" s="75" t="s">
        <v>145</v>
      </c>
      <c r="B23" s="85">
        <v>470</v>
      </c>
    </row>
    <row r="24" spans="1:7" x14ac:dyDescent="0.25">
      <c r="A24" s="75" t="s">
        <v>40</v>
      </c>
      <c r="B24" s="85">
        <v>0</v>
      </c>
    </row>
    <row r="26" spans="1:7" x14ac:dyDescent="0.25">
      <c r="A26" s="75"/>
      <c r="B26" s="85"/>
    </row>
    <row r="28" spans="1:7" x14ac:dyDescent="0.25">
      <c r="A28" s="80" t="s">
        <v>85</v>
      </c>
      <c r="B28" s="83" t="s">
        <v>21</v>
      </c>
      <c r="C28" s="83" t="s">
        <v>22</v>
      </c>
      <c r="D28" s="7" t="s">
        <v>147</v>
      </c>
    </row>
    <row r="29" spans="1:7" x14ac:dyDescent="0.25">
      <c r="A29" s="78" t="s">
        <v>13</v>
      </c>
      <c r="B29" s="159">
        <v>295</v>
      </c>
      <c r="C29" s="159">
        <v>3535</v>
      </c>
      <c r="D29" s="132"/>
    </row>
    <row r="30" spans="1:7" x14ac:dyDescent="0.25">
      <c r="A30" s="78" t="s">
        <v>14</v>
      </c>
      <c r="B30" s="159">
        <v>784</v>
      </c>
      <c r="C30" s="159">
        <v>9405</v>
      </c>
    </row>
    <row r="31" spans="1:7" x14ac:dyDescent="0.25">
      <c r="A31" s="78" t="s">
        <v>15</v>
      </c>
      <c r="B31" s="159">
        <v>60.85</v>
      </c>
      <c r="C31" s="159">
        <v>731.5</v>
      </c>
    </row>
    <row r="32" spans="1:7" x14ac:dyDescent="0.25">
      <c r="A32" s="78" t="s">
        <v>16</v>
      </c>
      <c r="B32" s="159">
        <f>B31</f>
        <v>60.85</v>
      </c>
      <c r="C32" s="159">
        <f>C31</f>
        <v>731.5</v>
      </c>
    </row>
    <row r="33" spans="1:17" x14ac:dyDescent="0.25">
      <c r="A33" s="78" t="s">
        <v>17</v>
      </c>
      <c r="B33" s="159">
        <v>471</v>
      </c>
      <c r="C33" s="159">
        <v>5655</v>
      </c>
    </row>
    <row r="34" spans="1:17" x14ac:dyDescent="0.25">
      <c r="A34" s="78" t="s">
        <v>18</v>
      </c>
      <c r="B34" s="159">
        <v>991</v>
      </c>
      <c r="C34" s="159">
        <v>11895</v>
      </c>
    </row>
    <row r="35" spans="1:17" x14ac:dyDescent="0.25">
      <c r="A35" s="78" t="s">
        <v>19</v>
      </c>
      <c r="B35" s="159">
        <v>37.1</v>
      </c>
      <c r="C35" s="159">
        <v>449</v>
      </c>
    </row>
    <row r="36" spans="1:17" x14ac:dyDescent="0.25">
      <c r="A36" s="78" t="s">
        <v>20</v>
      </c>
      <c r="B36" s="159">
        <f>B35</f>
        <v>37.1</v>
      </c>
      <c r="C36" s="159">
        <f>C35</f>
        <v>449</v>
      </c>
    </row>
    <row r="38" spans="1:17" ht="15.75" thickBot="1" x14ac:dyDescent="0.3"/>
    <row r="39" spans="1:17" ht="15.75" thickBot="1" x14ac:dyDescent="0.3">
      <c r="A39" s="86" t="s">
        <v>82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8"/>
    </row>
    <row r="40" spans="1:17" x14ac:dyDescent="0.25">
      <c r="A40" s="63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</row>
    <row r="41" spans="1:17" s="65" customFormat="1" x14ac:dyDescent="0.35">
      <c r="A41" s="105"/>
      <c r="B41" s="90" t="s">
        <v>71</v>
      </c>
      <c r="C41" s="90" t="s">
        <v>72</v>
      </c>
      <c r="D41" s="90" t="s">
        <v>73</v>
      </c>
      <c r="E41" s="90" t="s">
        <v>74</v>
      </c>
      <c r="F41" s="90" t="s">
        <v>75</v>
      </c>
      <c r="G41" s="90" t="s">
        <v>76</v>
      </c>
      <c r="H41" s="90" t="s">
        <v>77</v>
      </c>
      <c r="I41" s="96" t="s">
        <v>63</v>
      </c>
      <c r="J41" s="94" t="s">
        <v>64</v>
      </c>
      <c r="K41" s="89" t="s">
        <v>65</v>
      </c>
      <c r="L41" s="89"/>
      <c r="M41" s="89"/>
      <c r="N41" s="102" t="s">
        <v>68</v>
      </c>
    </row>
    <row r="42" spans="1:17" s="9" customFormat="1" ht="15.75" thickBot="1" x14ac:dyDescent="0.3">
      <c r="A42" s="106" t="s">
        <v>6</v>
      </c>
      <c r="B42" s="91">
        <v>1</v>
      </c>
      <c r="C42" s="91">
        <v>0.9</v>
      </c>
      <c r="D42" s="91">
        <v>0.8</v>
      </c>
      <c r="E42" s="91">
        <v>0.7</v>
      </c>
      <c r="F42" s="91">
        <v>0.6</v>
      </c>
      <c r="G42" s="91">
        <v>0.5</v>
      </c>
      <c r="H42" s="91">
        <v>0.4</v>
      </c>
      <c r="I42" s="97"/>
      <c r="J42" s="95"/>
      <c r="K42" s="100" t="s">
        <v>81</v>
      </c>
      <c r="L42" s="100" t="s">
        <v>66</v>
      </c>
      <c r="M42" s="100" t="s">
        <v>67</v>
      </c>
      <c r="N42" s="103"/>
    </row>
    <row r="43" spans="1:17" s="9" customFormat="1" ht="15.75" x14ac:dyDescent="0.25">
      <c r="A43" s="107" t="s">
        <v>7</v>
      </c>
      <c r="B43" s="92">
        <f>(VLOOKUP(BillEstimator!$C$25&amp;"-"&amp;BillEstimator!$K$15&amp;"-"&amp;"IN",Validation!$A$28:$C$36,3,FALSE)+VLOOKUP(BillEstimator!$C$26&amp;"-"&amp;BillEstimator!$K$15&amp;"-"&amp;"IN",Validation!$A$28:$C$36,3,FALSE))*Validation!B$42</f>
        <v>4266.5</v>
      </c>
      <c r="C43" s="92">
        <f>$B$43*C$42</f>
        <v>3839.85</v>
      </c>
      <c r="D43" s="92">
        <f t="shared" ref="D43:H43" si="1">$B$43*D$42</f>
        <v>3413.2000000000003</v>
      </c>
      <c r="E43" s="92">
        <f t="shared" si="1"/>
        <v>2986.5499999999997</v>
      </c>
      <c r="F43" s="92">
        <f t="shared" si="1"/>
        <v>2559.9</v>
      </c>
      <c r="G43" s="92">
        <f t="shared" si="1"/>
        <v>2133.25</v>
      </c>
      <c r="H43" s="92">
        <f t="shared" si="1"/>
        <v>1706.6000000000001</v>
      </c>
      <c r="I43" s="98">
        <f>I64*15</f>
        <v>9142.5</v>
      </c>
      <c r="J43" s="99">
        <f t="shared" ref="I43:N55" si="2">J64*15</f>
        <v>1803.75</v>
      </c>
      <c r="K43" s="101">
        <f t="shared" si="2"/>
        <v>0</v>
      </c>
      <c r="L43" s="101">
        <f t="shared" si="2"/>
        <v>0</v>
      </c>
      <c r="M43" s="101">
        <f t="shared" si="2"/>
        <v>0</v>
      </c>
      <c r="N43" s="104">
        <f t="shared" si="2"/>
        <v>5760</v>
      </c>
      <c r="P43" s="7"/>
    </row>
    <row r="44" spans="1:17" ht="15.75" x14ac:dyDescent="0.25">
      <c r="A44" s="108">
        <v>11</v>
      </c>
      <c r="B44" s="92">
        <f>((VLOOKUP(BillEstimator!$C$25&amp;"-"&amp;BillEstimator!$K$15&amp;"-"&amp;"IN",Validation!$A$28:$C$36,2,FALSE)*$A44+VLOOKUP(BillEstimator!$C$26&amp;"-"&amp;BillEstimator!$K$15&amp;"-"&amp;"IN",Validation!$A$28:$C$36,2,FALSE)*$A44))*Validation!B$42</f>
        <v>3914.35</v>
      </c>
      <c r="C44" s="93">
        <f t="shared" ref="C44:C55" si="3">$B44*C$42</f>
        <v>3522.915</v>
      </c>
      <c r="D44" s="93">
        <f t="shared" ref="D44:H44" si="4">$B44*D$42</f>
        <v>3131.48</v>
      </c>
      <c r="E44" s="93">
        <f t="shared" si="4"/>
        <v>2740.0449999999996</v>
      </c>
      <c r="F44" s="93">
        <f t="shared" si="4"/>
        <v>2348.6099999999997</v>
      </c>
      <c r="G44" s="93">
        <f t="shared" si="4"/>
        <v>1957.175</v>
      </c>
      <c r="H44" s="93">
        <f t="shared" si="4"/>
        <v>1565.74</v>
      </c>
      <c r="I44" s="98">
        <f t="shared" si="2"/>
        <v>6856.875</v>
      </c>
      <c r="J44" s="99">
        <f t="shared" si="2"/>
        <v>1350</v>
      </c>
      <c r="K44" s="101">
        <f t="shared" si="2"/>
        <v>0</v>
      </c>
      <c r="L44" s="101">
        <f t="shared" si="2"/>
        <v>0</v>
      </c>
      <c r="M44" s="101">
        <f t="shared" si="2"/>
        <v>0</v>
      </c>
      <c r="N44" s="104">
        <f t="shared" si="2"/>
        <v>4552.5</v>
      </c>
      <c r="Q44" s="66"/>
    </row>
    <row r="45" spans="1:17" ht="15.75" x14ac:dyDescent="0.25">
      <c r="A45" s="108">
        <f>A44-1</f>
        <v>10</v>
      </c>
      <c r="B45" s="92">
        <f>((VLOOKUP(BillEstimator!$C$25&amp;"-"&amp;BillEstimator!$K$15&amp;"-"&amp;"IN",Validation!$A$28:$C$36,2,FALSE)*$A45+VLOOKUP(BillEstimator!$C$26&amp;"-"&amp;BillEstimator!$K$15&amp;"-"&amp;"IN",Validation!$A$28:$C$36,2,FALSE)*$A45))*Validation!B$42</f>
        <v>3558.5</v>
      </c>
      <c r="C45" s="93">
        <f t="shared" si="3"/>
        <v>3202.65</v>
      </c>
      <c r="D45" s="93">
        <f t="shared" ref="D45:H55" si="5">$B45*D$42</f>
        <v>2846.8</v>
      </c>
      <c r="E45" s="93">
        <f t="shared" si="5"/>
        <v>2490.9499999999998</v>
      </c>
      <c r="F45" s="93">
        <f t="shared" si="5"/>
        <v>2135.1</v>
      </c>
      <c r="G45" s="93">
        <f t="shared" si="5"/>
        <v>1779.25</v>
      </c>
      <c r="H45" s="93">
        <f t="shared" si="5"/>
        <v>1423.4</v>
      </c>
      <c r="I45" s="98">
        <f t="shared" si="2"/>
        <v>6856.875</v>
      </c>
      <c r="J45" s="99">
        <f t="shared" si="2"/>
        <v>1350</v>
      </c>
      <c r="K45" s="101">
        <f t="shared" si="2"/>
        <v>0</v>
      </c>
      <c r="L45" s="101">
        <f t="shared" si="2"/>
        <v>0</v>
      </c>
      <c r="M45" s="101">
        <f t="shared" si="2"/>
        <v>0</v>
      </c>
      <c r="N45" s="104">
        <f t="shared" si="2"/>
        <v>4552.5</v>
      </c>
    </row>
    <row r="46" spans="1:17" ht="15.75" x14ac:dyDescent="0.25">
      <c r="A46" s="108">
        <f t="shared" ref="A46:A55" si="6">A45-1</f>
        <v>9</v>
      </c>
      <c r="B46" s="92">
        <f>((VLOOKUP(BillEstimator!$C$25&amp;"-"&amp;BillEstimator!$K$15&amp;"-"&amp;"IN",Validation!$A$28:$C$36,2,FALSE)*$A46+VLOOKUP(BillEstimator!$C$26&amp;"-"&amp;BillEstimator!$K$15&amp;"-"&amp;"IN",Validation!$A$28:$C$36,2,FALSE)*$A46))*Validation!B$42</f>
        <v>3202.65</v>
      </c>
      <c r="C46" s="93">
        <f t="shared" si="3"/>
        <v>2882.3850000000002</v>
      </c>
      <c r="D46" s="93">
        <f t="shared" si="5"/>
        <v>2562.1200000000003</v>
      </c>
      <c r="E46" s="93">
        <f t="shared" si="5"/>
        <v>2241.855</v>
      </c>
      <c r="F46" s="93">
        <f t="shared" si="5"/>
        <v>1921.59</v>
      </c>
      <c r="G46" s="93">
        <f t="shared" si="5"/>
        <v>1601.325</v>
      </c>
      <c r="H46" s="93">
        <f t="shared" si="5"/>
        <v>1281.0600000000002</v>
      </c>
      <c r="I46" s="98">
        <f t="shared" si="2"/>
        <v>6856.875</v>
      </c>
      <c r="J46" s="99">
        <f t="shared" si="2"/>
        <v>1350</v>
      </c>
      <c r="K46" s="101">
        <f t="shared" si="2"/>
        <v>0</v>
      </c>
      <c r="L46" s="101">
        <f t="shared" si="2"/>
        <v>0</v>
      </c>
      <c r="M46" s="101">
        <f t="shared" si="2"/>
        <v>0</v>
      </c>
      <c r="N46" s="104">
        <f t="shared" si="2"/>
        <v>4552.5</v>
      </c>
    </row>
    <row r="47" spans="1:17" ht="15.75" x14ac:dyDescent="0.25">
      <c r="A47" s="108">
        <f t="shared" si="6"/>
        <v>8</v>
      </c>
      <c r="B47" s="92">
        <f>((VLOOKUP(BillEstimator!$C$25&amp;"-"&amp;BillEstimator!$K$15&amp;"-"&amp;"IN",Validation!$A$28:$C$36,2,FALSE)*$A47+VLOOKUP(BillEstimator!$C$26&amp;"-"&amp;BillEstimator!$K$15&amp;"-"&amp;"IN",Validation!$A$28:$C$36,2,FALSE)*$A47))*Validation!B$42</f>
        <v>2846.8</v>
      </c>
      <c r="C47" s="93">
        <f t="shared" si="3"/>
        <v>2562.1200000000003</v>
      </c>
      <c r="D47" s="93">
        <f t="shared" si="5"/>
        <v>2277.44</v>
      </c>
      <c r="E47" s="93">
        <f t="shared" si="5"/>
        <v>1992.76</v>
      </c>
      <c r="F47" s="93">
        <f t="shared" si="5"/>
        <v>1708.0800000000002</v>
      </c>
      <c r="G47" s="93">
        <f t="shared" si="5"/>
        <v>1423.4</v>
      </c>
      <c r="H47" s="93">
        <f t="shared" si="5"/>
        <v>1138.72</v>
      </c>
      <c r="I47" s="98">
        <f t="shared" si="2"/>
        <v>4571.25</v>
      </c>
      <c r="J47" s="99">
        <f t="shared" si="2"/>
        <v>900</v>
      </c>
      <c r="K47" s="101">
        <f t="shared" si="2"/>
        <v>0</v>
      </c>
      <c r="L47" s="101">
        <f t="shared" si="2"/>
        <v>0</v>
      </c>
      <c r="M47" s="101">
        <f t="shared" si="2"/>
        <v>0</v>
      </c>
      <c r="N47" s="104">
        <f t="shared" si="2"/>
        <v>3337.5</v>
      </c>
    </row>
    <row r="48" spans="1:17" ht="15.75" x14ac:dyDescent="0.25">
      <c r="A48" s="108">
        <f t="shared" si="6"/>
        <v>7</v>
      </c>
      <c r="B48" s="92">
        <f>((VLOOKUP(BillEstimator!$C$25&amp;"-"&amp;BillEstimator!$K$15&amp;"-"&amp;"IN",Validation!$A$28:$C$36,2,FALSE)*$A48+VLOOKUP(BillEstimator!$C$26&amp;"-"&amp;BillEstimator!$K$15&amp;"-"&amp;"IN",Validation!$A$28:$C$36,2,FALSE)*$A48))*Validation!B$42</f>
        <v>2490.9499999999998</v>
      </c>
      <c r="C48" s="93">
        <f t="shared" si="3"/>
        <v>2241.855</v>
      </c>
      <c r="D48" s="93">
        <f t="shared" si="5"/>
        <v>1992.76</v>
      </c>
      <c r="E48" s="93">
        <f t="shared" si="5"/>
        <v>1743.6649999999997</v>
      </c>
      <c r="F48" s="93">
        <f t="shared" si="5"/>
        <v>1494.57</v>
      </c>
      <c r="G48" s="93">
        <f t="shared" si="5"/>
        <v>1245.4749999999999</v>
      </c>
      <c r="H48" s="93">
        <f t="shared" si="5"/>
        <v>996.38</v>
      </c>
      <c r="I48" s="98">
        <f t="shared" si="2"/>
        <v>4571.25</v>
      </c>
      <c r="J48" s="99">
        <f t="shared" si="2"/>
        <v>900</v>
      </c>
      <c r="K48" s="101">
        <f t="shared" si="2"/>
        <v>0</v>
      </c>
      <c r="L48" s="101">
        <f t="shared" si="2"/>
        <v>0</v>
      </c>
      <c r="M48" s="101">
        <f t="shared" si="2"/>
        <v>0</v>
      </c>
      <c r="N48" s="104">
        <f t="shared" si="2"/>
        <v>3337.5</v>
      </c>
    </row>
    <row r="49" spans="1:17" ht="15.75" x14ac:dyDescent="0.25">
      <c r="A49" s="108">
        <f t="shared" si="6"/>
        <v>6</v>
      </c>
      <c r="B49" s="92">
        <f>((VLOOKUP(BillEstimator!$C$25&amp;"-"&amp;BillEstimator!$K$15&amp;"-"&amp;"IN",Validation!$A$28:$C$36,2,FALSE)*$A49+VLOOKUP(BillEstimator!$C$26&amp;"-"&amp;BillEstimator!$K$15&amp;"-"&amp;"IN",Validation!$A$28:$C$36,2,FALSE)*$A49))*Validation!B$42</f>
        <v>2135.1</v>
      </c>
      <c r="C49" s="93">
        <f t="shared" si="3"/>
        <v>1921.59</v>
      </c>
      <c r="D49" s="93">
        <f t="shared" si="5"/>
        <v>1708.08</v>
      </c>
      <c r="E49" s="93">
        <f t="shared" si="5"/>
        <v>1494.57</v>
      </c>
      <c r="F49" s="93">
        <f t="shared" si="5"/>
        <v>1281.06</v>
      </c>
      <c r="G49" s="93">
        <f t="shared" si="5"/>
        <v>1067.55</v>
      </c>
      <c r="H49" s="93">
        <f t="shared" si="5"/>
        <v>854.04</v>
      </c>
      <c r="I49" s="98">
        <f t="shared" si="2"/>
        <v>4571.25</v>
      </c>
      <c r="J49" s="99">
        <f t="shared" si="2"/>
        <v>900</v>
      </c>
      <c r="K49" s="101">
        <f t="shared" si="2"/>
        <v>0</v>
      </c>
      <c r="L49" s="101">
        <f t="shared" si="2"/>
        <v>0</v>
      </c>
      <c r="M49" s="101">
        <f t="shared" si="2"/>
        <v>0</v>
      </c>
      <c r="N49" s="104">
        <f t="shared" si="2"/>
        <v>3337.5</v>
      </c>
    </row>
    <row r="50" spans="1:17" ht="15.75" x14ac:dyDescent="0.25">
      <c r="A50" s="108">
        <f t="shared" si="6"/>
        <v>5</v>
      </c>
      <c r="B50" s="92">
        <f>((VLOOKUP(BillEstimator!$C$25&amp;"-"&amp;BillEstimator!$K$15&amp;"-"&amp;"IN",Validation!$A$28:$C$36,2,FALSE)*$A50+VLOOKUP(BillEstimator!$C$26&amp;"-"&amp;BillEstimator!$K$15&amp;"-"&amp;"IN",Validation!$A$28:$C$36,2,FALSE)*$A50))*Validation!B$42</f>
        <v>1779.25</v>
      </c>
      <c r="C50" s="93">
        <f t="shared" si="3"/>
        <v>1601.325</v>
      </c>
      <c r="D50" s="93">
        <f t="shared" si="5"/>
        <v>1423.4</v>
      </c>
      <c r="E50" s="93">
        <f t="shared" si="5"/>
        <v>1245.4749999999999</v>
      </c>
      <c r="F50" s="93">
        <f t="shared" si="5"/>
        <v>1067.55</v>
      </c>
      <c r="G50" s="93">
        <f t="shared" si="5"/>
        <v>889.625</v>
      </c>
      <c r="H50" s="93">
        <f t="shared" si="5"/>
        <v>711.7</v>
      </c>
      <c r="I50" s="98">
        <f t="shared" si="2"/>
        <v>4571.25</v>
      </c>
      <c r="J50" s="99">
        <f t="shared" si="2"/>
        <v>450.9375</v>
      </c>
      <c r="K50" s="101">
        <f t="shared" si="2"/>
        <v>0</v>
      </c>
      <c r="L50" s="101">
        <f t="shared" si="2"/>
        <v>0</v>
      </c>
      <c r="M50" s="101">
        <f t="shared" si="2"/>
        <v>0</v>
      </c>
      <c r="N50" s="104">
        <f t="shared" si="2"/>
        <v>3337.5</v>
      </c>
    </row>
    <row r="51" spans="1:17" ht="15.75" x14ac:dyDescent="0.25">
      <c r="A51" s="108">
        <f t="shared" si="6"/>
        <v>4</v>
      </c>
      <c r="B51" s="92">
        <f>((VLOOKUP(BillEstimator!$C$25&amp;"-"&amp;BillEstimator!$K$15&amp;"-"&amp;"IN",Validation!$A$28:$C$36,2,FALSE)*$A51+VLOOKUP(BillEstimator!$C$26&amp;"-"&amp;BillEstimator!$K$15&amp;"-"&amp;"IN",Validation!$A$28:$C$36,2,FALSE)*$A51))*Validation!B$42</f>
        <v>1423.4</v>
      </c>
      <c r="C51" s="93">
        <f t="shared" si="3"/>
        <v>1281.0600000000002</v>
      </c>
      <c r="D51" s="93">
        <f t="shared" si="5"/>
        <v>1138.72</v>
      </c>
      <c r="E51" s="93">
        <f t="shared" si="5"/>
        <v>996.38</v>
      </c>
      <c r="F51" s="93">
        <f t="shared" si="5"/>
        <v>854.04000000000008</v>
      </c>
      <c r="G51" s="93">
        <f t="shared" si="5"/>
        <v>711.7</v>
      </c>
      <c r="H51" s="93">
        <f t="shared" si="5"/>
        <v>569.36</v>
      </c>
      <c r="I51" s="98">
        <f t="shared" si="2"/>
        <v>4571.25</v>
      </c>
      <c r="J51" s="99">
        <f t="shared" si="2"/>
        <v>450.9375</v>
      </c>
      <c r="K51" s="101">
        <f t="shared" si="2"/>
        <v>0</v>
      </c>
      <c r="L51" s="101">
        <f t="shared" si="2"/>
        <v>0</v>
      </c>
      <c r="M51" s="101">
        <f t="shared" si="2"/>
        <v>0</v>
      </c>
      <c r="N51" s="104">
        <f t="shared" si="2"/>
        <v>3337.5</v>
      </c>
      <c r="Q51" s="67"/>
    </row>
    <row r="52" spans="1:17" ht="15.75" x14ac:dyDescent="0.25">
      <c r="A52" s="108">
        <f t="shared" si="6"/>
        <v>3</v>
      </c>
      <c r="B52" s="92">
        <f>((VLOOKUP(BillEstimator!$C$25&amp;"-"&amp;BillEstimator!$K$15&amp;"-"&amp;"IN",Validation!$A$28:$C$36,2,FALSE)*$A52+VLOOKUP(BillEstimator!$C$26&amp;"-"&amp;BillEstimator!$K$15&amp;"-"&amp;"IN",Validation!$A$28:$C$36,2,FALSE)*$A52))*Validation!B$42</f>
        <v>1067.55</v>
      </c>
      <c r="C52" s="93">
        <f t="shared" si="3"/>
        <v>960.79499999999996</v>
      </c>
      <c r="D52" s="93">
        <f t="shared" si="5"/>
        <v>854.04</v>
      </c>
      <c r="E52" s="93">
        <f t="shared" si="5"/>
        <v>747.28499999999997</v>
      </c>
      <c r="F52" s="93">
        <f t="shared" si="5"/>
        <v>640.53</v>
      </c>
      <c r="G52" s="93">
        <f t="shared" si="5"/>
        <v>533.77499999999998</v>
      </c>
      <c r="H52" s="93">
        <f t="shared" si="5"/>
        <v>427.02</v>
      </c>
      <c r="I52" s="98">
        <f t="shared" si="2"/>
        <v>2285.625</v>
      </c>
      <c r="J52" s="99">
        <f t="shared" si="2"/>
        <v>450.9375</v>
      </c>
      <c r="K52" s="101">
        <f t="shared" si="2"/>
        <v>0</v>
      </c>
      <c r="L52" s="101">
        <f t="shared" si="2"/>
        <v>0</v>
      </c>
      <c r="M52" s="101">
        <f t="shared" si="2"/>
        <v>0</v>
      </c>
      <c r="N52" s="104">
        <f t="shared" si="2"/>
        <v>1440</v>
      </c>
      <c r="Q52" s="68"/>
    </row>
    <row r="53" spans="1:17" ht="15.75" x14ac:dyDescent="0.25">
      <c r="A53" s="108">
        <f t="shared" si="6"/>
        <v>2</v>
      </c>
      <c r="B53" s="92">
        <f>((VLOOKUP(BillEstimator!$C$25&amp;"-"&amp;BillEstimator!$K$15&amp;"-"&amp;"IN",Validation!$A$28:$C$36,2,FALSE)*$A53+VLOOKUP(BillEstimator!$C$26&amp;"-"&amp;BillEstimator!$K$15&amp;"-"&amp;"IN",Validation!$A$28:$C$36,2,FALSE)*$A53))*Validation!B$42</f>
        <v>711.7</v>
      </c>
      <c r="C53" s="93">
        <f t="shared" si="3"/>
        <v>640.53000000000009</v>
      </c>
      <c r="D53" s="93">
        <f t="shared" si="5"/>
        <v>569.36</v>
      </c>
      <c r="E53" s="93">
        <f t="shared" si="5"/>
        <v>498.19</v>
      </c>
      <c r="F53" s="93">
        <f t="shared" si="5"/>
        <v>427.02000000000004</v>
      </c>
      <c r="G53" s="93">
        <f t="shared" si="5"/>
        <v>355.85</v>
      </c>
      <c r="H53" s="93">
        <f t="shared" si="5"/>
        <v>284.68</v>
      </c>
      <c r="I53" s="98">
        <f t="shared" si="2"/>
        <v>2285.625</v>
      </c>
      <c r="J53" s="99">
        <f t="shared" si="2"/>
        <v>450.9375</v>
      </c>
      <c r="K53" s="101">
        <f t="shared" si="2"/>
        <v>0</v>
      </c>
      <c r="L53" s="101">
        <f t="shared" si="2"/>
        <v>0</v>
      </c>
      <c r="M53" s="101">
        <f t="shared" si="2"/>
        <v>0</v>
      </c>
      <c r="N53" s="104">
        <f t="shared" si="2"/>
        <v>1440</v>
      </c>
      <c r="Q53" s="67"/>
    </row>
    <row r="54" spans="1:17" ht="15.75" x14ac:dyDescent="0.25">
      <c r="A54" s="108">
        <f t="shared" si="6"/>
        <v>1</v>
      </c>
      <c r="B54" s="92">
        <f>((VLOOKUP(BillEstimator!$C$25&amp;"-"&amp;BillEstimator!$K$15&amp;"-"&amp;"IN",Validation!$A$28:$C$36,2,FALSE)*$A54+VLOOKUP(BillEstimator!$C$26&amp;"-"&amp;BillEstimator!$K$15&amp;"-"&amp;"IN",Validation!$A$28:$C$36,2,FALSE)*$A54))*Validation!B$42</f>
        <v>355.85</v>
      </c>
      <c r="C54" s="93">
        <f t="shared" si="3"/>
        <v>320.26500000000004</v>
      </c>
      <c r="D54" s="93">
        <f t="shared" si="5"/>
        <v>284.68</v>
      </c>
      <c r="E54" s="93">
        <f t="shared" si="5"/>
        <v>249.095</v>
      </c>
      <c r="F54" s="93">
        <f t="shared" si="5"/>
        <v>213.51000000000002</v>
      </c>
      <c r="G54" s="93">
        <f t="shared" si="5"/>
        <v>177.92500000000001</v>
      </c>
      <c r="H54" s="93">
        <f t="shared" si="5"/>
        <v>142.34</v>
      </c>
      <c r="I54" s="98">
        <f t="shared" si="2"/>
        <v>2285.625</v>
      </c>
      <c r="J54" s="99">
        <f t="shared" si="2"/>
        <v>450.9375</v>
      </c>
      <c r="K54" s="101">
        <f t="shared" si="2"/>
        <v>0</v>
      </c>
      <c r="L54" s="101">
        <f t="shared" si="2"/>
        <v>0</v>
      </c>
      <c r="M54" s="101">
        <f t="shared" si="2"/>
        <v>0</v>
      </c>
      <c r="N54" s="104">
        <f t="shared" si="2"/>
        <v>1440</v>
      </c>
      <c r="Q54" s="67"/>
    </row>
    <row r="55" spans="1:17" ht="15.75" x14ac:dyDescent="0.25">
      <c r="A55" s="108">
        <f t="shared" si="6"/>
        <v>0</v>
      </c>
      <c r="B55" s="92">
        <f>((VLOOKUP(BillEstimator!$C$25&amp;"-"&amp;BillEstimator!$K$15&amp;"-"&amp;"IN",Validation!$A$28:$C$36,2,FALSE)*$A55+VLOOKUP(BillEstimator!$C$26&amp;"-"&amp;BillEstimator!$K$15&amp;"-"&amp;"IN",Validation!$A$28:$C$36,2,FALSE)*$A55))*Validation!B$42</f>
        <v>0</v>
      </c>
      <c r="C55" s="93">
        <f t="shared" si="3"/>
        <v>0</v>
      </c>
      <c r="D55" s="93">
        <f t="shared" si="5"/>
        <v>0</v>
      </c>
      <c r="E55" s="93">
        <f t="shared" si="5"/>
        <v>0</v>
      </c>
      <c r="F55" s="93">
        <f t="shared" si="5"/>
        <v>0</v>
      </c>
      <c r="G55" s="93">
        <f t="shared" si="5"/>
        <v>0</v>
      </c>
      <c r="H55" s="93">
        <f t="shared" si="5"/>
        <v>0</v>
      </c>
      <c r="I55" s="98">
        <f t="shared" si="2"/>
        <v>0</v>
      </c>
      <c r="J55" s="99">
        <f t="shared" si="2"/>
        <v>0</v>
      </c>
      <c r="K55" s="101">
        <f t="shared" si="2"/>
        <v>0</v>
      </c>
      <c r="L55" s="101">
        <f t="shared" si="2"/>
        <v>0</v>
      </c>
      <c r="M55" s="101">
        <f t="shared" si="2"/>
        <v>0</v>
      </c>
      <c r="N55" s="104">
        <f t="shared" si="2"/>
        <v>0</v>
      </c>
      <c r="Q55" s="69"/>
    </row>
    <row r="56" spans="1:17" x14ac:dyDescent="0.25">
      <c r="A56" s="65"/>
      <c r="Q56" s="67"/>
    </row>
    <row r="57" spans="1:17" x14ac:dyDescent="0.25">
      <c r="A57" s="110" t="s">
        <v>87</v>
      </c>
      <c r="B57" s="111" t="s">
        <v>70</v>
      </c>
      <c r="C57" s="111" t="s">
        <v>86</v>
      </c>
      <c r="Q57" s="67"/>
    </row>
    <row r="58" spans="1:17" x14ac:dyDescent="0.25">
      <c r="A58" s="109" t="str">
        <f>BillEstimator!D21</f>
        <v>None</v>
      </c>
      <c r="B58" s="109" t="str">
        <f>IF(A58="None","none",VLOOKUP(A58,H4:I16,2,FALSE))</f>
        <v>none</v>
      </c>
      <c r="C58" s="109">
        <f>IF(B58="none",0,VLOOKUP($A$59,$A$43:$N$55,$B$58,FALSE))</f>
        <v>0</v>
      </c>
    </row>
    <row r="59" spans="1:17" x14ac:dyDescent="0.25">
      <c r="A59" s="109" t="str">
        <f>BillEstimator!$D$19</f>
        <v>12+</v>
      </c>
    </row>
    <row r="60" spans="1:17" ht="15.75" thickBot="1" x14ac:dyDescent="0.3"/>
    <row r="61" spans="1:17" ht="15.75" thickBot="1" x14ac:dyDescent="0.3">
      <c r="B61" s="62" t="s">
        <v>89</v>
      </c>
      <c r="C61" s="70"/>
      <c r="D61" s="70"/>
      <c r="E61" s="70"/>
      <c r="F61" s="70"/>
      <c r="G61" s="71"/>
      <c r="I61" s="62" t="s">
        <v>83</v>
      </c>
      <c r="J61" s="70"/>
      <c r="K61" s="70"/>
      <c r="L61" s="70"/>
      <c r="M61" s="70"/>
      <c r="N61" s="71"/>
    </row>
    <row r="62" spans="1:17" ht="17.25" x14ac:dyDescent="0.4">
      <c r="B62" s="96" t="s">
        <v>63</v>
      </c>
      <c r="C62" s="94" t="s">
        <v>64</v>
      </c>
      <c r="D62" s="166" t="s">
        <v>128</v>
      </c>
      <c r="E62" s="89"/>
      <c r="F62" s="89"/>
      <c r="G62" s="102" t="s">
        <v>68</v>
      </c>
      <c r="I62" s="96" t="s">
        <v>63</v>
      </c>
      <c r="J62" s="94" t="s">
        <v>64</v>
      </c>
      <c r="K62" s="166" t="s">
        <v>128</v>
      </c>
      <c r="L62" s="89"/>
      <c r="M62" s="89"/>
      <c r="N62" s="102" t="s">
        <v>68</v>
      </c>
    </row>
    <row r="63" spans="1:17" ht="15.75" thickBot="1" x14ac:dyDescent="0.3">
      <c r="A63" s="106" t="s">
        <v>6</v>
      </c>
      <c r="B63" s="97"/>
      <c r="C63" s="95"/>
      <c r="D63" s="163"/>
      <c r="E63" s="163"/>
      <c r="F63" s="163"/>
      <c r="G63" s="103"/>
      <c r="I63" s="97"/>
      <c r="J63" s="95"/>
      <c r="K63" s="163"/>
      <c r="L63" s="163"/>
      <c r="M63" s="163"/>
      <c r="N63" s="103"/>
    </row>
    <row r="64" spans="1:17" x14ac:dyDescent="0.25">
      <c r="A64" s="125" t="s">
        <v>7</v>
      </c>
      <c r="B64" s="126">
        <v>2438</v>
      </c>
      <c r="C64" s="127">
        <v>481</v>
      </c>
      <c r="D64" s="164"/>
      <c r="E64" s="164"/>
      <c r="F64" s="164"/>
      <c r="G64" s="128">
        <v>1536</v>
      </c>
      <c r="I64" s="98">
        <f>B64/4</f>
        <v>609.5</v>
      </c>
      <c r="J64" s="99">
        <f t="shared" ref="J64:J75" si="7">C64/4</f>
        <v>120.25</v>
      </c>
      <c r="K64" s="167"/>
      <c r="L64" s="167"/>
      <c r="M64" s="167"/>
      <c r="N64" s="104">
        <f t="shared" ref="N64:N75" si="8">G64/4</f>
        <v>384</v>
      </c>
    </row>
    <row r="65" spans="1:14" x14ac:dyDescent="0.25">
      <c r="A65" s="129">
        <v>11</v>
      </c>
      <c r="B65" s="126">
        <v>1828.5</v>
      </c>
      <c r="C65" s="127">
        <v>360</v>
      </c>
      <c r="D65" s="164"/>
      <c r="E65" s="164"/>
      <c r="F65" s="164"/>
      <c r="G65" s="128">
        <v>1214</v>
      </c>
      <c r="I65" s="98">
        <f t="shared" ref="I65:I75" si="9">B65/4</f>
        <v>457.125</v>
      </c>
      <c r="J65" s="99">
        <f t="shared" si="7"/>
        <v>90</v>
      </c>
      <c r="K65" s="167"/>
      <c r="L65" s="167"/>
      <c r="M65" s="167"/>
      <c r="N65" s="104">
        <f t="shared" si="8"/>
        <v>303.5</v>
      </c>
    </row>
    <row r="66" spans="1:14" x14ac:dyDescent="0.25">
      <c r="A66" s="124">
        <f>A65-1</f>
        <v>10</v>
      </c>
      <c r="B66" s="121">
        <f t="shared" ref="B66:G66" si="10">B65</f>
        <v>1828.5</v>
      </c>
      <c r="C66" s="122">
        <f t="shared" si="10"/>
        <v>360</v>
      </c>
      <c r="D66" s="165"/>
      <c r="E66" s="165"/>
      <c r="F66" s="165"/>
      <c r="G66" s="123">
        <f t="shared" si="10"/>
        <v>1214</v>
      </c>
      <c r="I66" s="98">
        <f t="shared" si="9"/>
        <v>457.125</v>
      </c>
      <c r="J66" s="99">
        <f t="shared" si="7"/>
        <v>90</v>
      </c>
      <c r="K66" s="167"/>
      <c r="L66" s="167"/>
      <c r="M66" s="167"/>
      <c r="N66" s="104">
        <f t="shared" si="8"/>
        <v>303.5</v>
      </c>
    </row>
    <row r="67" spans="1:14" x14ac:dyDescent="0.25">
      <c r="A67" s="124">
        <f t="shared" ref="A67:A76" si="11">A66-1</f>
        <v>9</v>
      </c>
      <c r="B67" s="121">
        <f>B65</f>
        <v>1828.5</v>
      </c>
      <c r="C67" s="122">
        <f>C65</f>
        <v>360</v>
      </c>
      <c r="D67" s="165"/>
      <c r="E67" s="165"/>
      <c r="F67" s="165"/>
      <c r="G67" s="123">
        <f>G66</f>
        <v>1214</v>
      </c>
      <c r="I67" s="98">
        <f t="shared" si="9"/>
        <v>457.125</v>
      </c>
      <c r="J67" s="99">
        <f t="shared" si="7"/>
        <v>90</v>
      </c>
      <c r="K67" s="167"/>
      <c r="L67" s="167"/>
      <c r="M67" s="167"/>
      <c r="N67" s="104">
        <f t="shared" si="8"/>
        <v>303.5</v>
      </c>
    </row>
    <row r="68" spans="1:14" x14ac:dyDescent="0.25">
      <c r="A68" s="129">
        <f t="shared" si="11"/>
        <v>8</v>
      </c>
      <c r="B68" s="126">
        <v>1219</v>
      </c>
      <c r="C68" s="127">
        <v>240</v>
      </c>
      <c r="D68" s="164"/>
      <c r="E68" s="164"/>
      <c r="F68" s="164"/>
      <c r="G68" s="128">
        <v>890</v>
      </c>
      <c r="I68" s="98">
        <f t="shared" si="9"/>
        <v>304.75</v>
      </c>
      <c r="J68" s="99">
        <f t="shared" si="7"/>
        <v>60</v>
      </c>
      <c r="K68" s="167"/>
      <c r="L68" s="167"/>
      <c r="M68" s="167"/>
      <c r="N68" s="104">
        <f t="shared" si="8"/>
        <v>222.5</v>
      </c>
    </row>
    <row r="69" spans="1:14" x14ac:dyDescent="0.25">
      <c r="A69" s="124">
        <f t="shared" si="11"/>
        <v>7</v>
      </c>
      <c r="B69" s="121">
        <f>B68</f>
        <v>1219</v>
      </c>
      <c r="C69" s="122">
        <f t="shared" ref="C69:G70" si="12">C68</f>
        <v>240</v>
      </c>
      <c r="D69" s="165"/>
      <c r="E69" s="165"/>
      <c r="F69" s="165"/>
      <c r="G69" s="123">
        <f t="shared" si="12"/>
        <v>890</v>
      </c>
      <c r="I69" s="98">
        <f t="shared" si="9"/>
        <v>304.75</v>
      </c>
      <c r="J69" s="99">
        <f t="shared" si="7"/>
        <v>60</v>
      </c>
      <c r="K69" s="167"/>
      <c r="L69" s="167"/>
      <c r="M69" s="167"/>
      <c r="N69" s="104">
        <f t="shared" si="8"/>
        <v>222.5</v>
      </c>
    </row>
    <row r="70" spans="1:14" x14ac:dyDescent="0.25">
      <c r="A70" s="124">
        <f t="shared" si="11"/>
        <v>6</v>
      </c>
      <c r="B70" s="121">
        <f>B69</f>
        <v>1219</v>
      </c>
      <c r="C70" s="122">
        <f t="shared" si="12"/>
        <v>240</v>
      </c>
      <c r="D70" s="165"/>
      <c r="E70" s="165"/>
      <c r="F70" s="165"/>
      <c r="G70" s="123">
        <f t="shared" si="12"/>
        <v>890</v>
      </c>
      <c r="I70" s="98">
        <f t="shared" si="9"/>
        <v>304.75</v>
      </c>
      <c r="J70" s="99">
        <f t="shared" si="7"/>
        <v>60</v>
      </c>
      <c r="K70" s="167"/>
      <c r="L70" s="167"/>
      <c r="M70" s="167"/>
      <c r="N70" s="104">
        <f t="shared" si="8"/>
        <v>222.5</v>
      </c>
    </row>
    <row r="71" spans="1:14" x14ac:dyDescent="0.25">
      <c r="A71" s="129">
        <f t="shared" si="11"/>
        <v>5</v>
      </c>
      <c r="B71" s="126">
        <v>1219</v>
      </c>
      <c r="C71" s="127">
        <v>120.25</v>
      </c>
      <c r="D71" s="164"/>
      <c r="E71" s="164"/>
      <c r="F71" s="164"/>
      <c r="G71" s="128">
        <v>890</v>
      </c>
      <c r="I71" s="98">
        <f t="shared" si="9"/>
        <v>304.75</v>
      </c>
      <c r="J71" s="99">
        <f t="shared" si="7"/>
        <v>30.0625</v>
      </c>
      <c r="K71" s="167"/>
      <c r="L71" s="167"/>
      <c r="M71" s="167"/>
      <c r="N71" s="104">
        <f t="shared" si="8"/>
        <v>222.5</v>
      </c>
    </row>
    <row r="72" spans="1:14" x14ac:dyDescent="0.25">
      <c r="A72" s="124">
        <f t="shared" si="11"/>
        <v>4</v>
      </c>
      <c r="B72" s="121">
        <f>B71</f>
        <v>1219</v>
      </c>
      <c r="C72" s="122">
        <f t="shared" ref="C72:G72" si="13">C71</f>
        <v>120.25</v>
      </c>
      <c r="D72" s="165"/>
      <c r="E72" s="165"/>
      <c r="F72" s="165"/>
      <c r="G72" s="123">
        <f t="shared" si="13"/>
        <v>890</v>
      </c>
      <c r="I72" s="98">
        <f t="shared" si="9"/>
        <v>304.75</v>
      </c>
      <c r="J72" s="99">
        <f t="shared" si="7"/>
        <v>30.0625</v>
      </c>
      <c r="K72" s="167"/>
      <c r="L72" s="167"/>
      <c r="M72" s="167"/>
      <c r="N72" s="104">
        <f t="shared" si="8"/>
        <v>222.5</v>
      </c>
    </row>
    <row r="73" spans="1:14" x14ac:dyDescent="0.25">
      <c r="A73" s="129">
        <f t="shared" si="11"/>
        <v>3</v>
      </c>
      <c r="B73" s="126">
        <v>609.5</v>
      </c>
      <c r="C73" s="127">
        <f>C72</f>
        <v>120.25</v>
      </c>
      <c r="D73" s="164"/>
      <c r="E73" s="164"/>
      <c r="F73" s="164"/>
      <c r="G73" s="128">
        <v>384</v>
      </c>
      <c r="I73" s="98">
        <f t="shared" si="9"/>
        <v>152.375</v>
      </c>
      <c r="J73" s="99">
        <f t="shared" si="7"/>
        <v>30.0625</v>
      </c>
      <c r="K73" s="167"/>
      <c r="L73" s="167"/>
      <c r="M73" s="167"/>
      <c r="N73" s="104">
        <f>G73/4</f>
        <v>96</v>
      </c>
    </row>
    <row r="74" spans="1:14" x14ac:dyDescent="0.25">
      <c r="A74" s="124">
        <f t="shared" si="11"/>
        <v>2</v>
      </c>
      <c r="B74" s="121">
        <f>B73</f>
        <v>609.5</v>
      </c>
      <c r="C74" s="122">
        <f>C73</f>
        <v>120.25</v>
      </c>
      <c r="D74" s="165"/>
      <c r="E74" s="165"/>
      <c r="F74" s="165"/>
      <c r="G74" s="123">
        <f t="shared" ref="G74:G75" si="14">G73</f>
        <v>384</v>
      </c>
      <c r="I74" s="98">
        <f t="shared" si="9"/>
        <v>152.375</v>
      </c>
      <c r="J74" s="99">
        <f t="shared" si="7"/>
        <v>30.0625</v>
      </c>
      <c r="K74" s="167"/>
      <c r="L74" s="167"/>
      <c r="M74" s="167"/>
      <c r="N74" s="104">
        <f t="shared" si="8"/>
        <v>96</v>
      </c>
    </row>
    <row r="75" spans="1:14" x14ac:dyDescent="0.25">
      <c r="A75" s="124">
        <f t="shared" si="11"/>
        <v>1</v>
      </c>
      <c r="B75" s="121">
        <f>B74</f>
        <v>609.5</v>
      </c>
      <c r="C75" s="122">
        <f>C74</f>
        <v>120.25</v>
      </c>
      <c r="D75" s="165"/>
      <c r="E75" s="165"/>
      <c r="F75" s="165"/>
      <c r="G75" s="123">
        <f t="shared" si="14"/>
        <v>384</v>
      </c>
      <c r="I75" s="98">
        <f t="shared" si="9"/>
        <v>152.375</v>
      </c>
      <c r="J75" s="99">
        <f t="shared" si="7"/>
        <v>30.0625</v>
      </c>
      <c r="K75" s="167"/>
      <c r="L75" s="167"/>
      <c r="M75" s="167"/>
      <c r="N75" s="104">
        <f t="shared" si="8"/>
        <v>96</v>
      </c>
    </row>
    <row r="76" spans="1:14" x14ac:dyDescent="0.25">
      <c r="A76" s="124">
        <f t="shared" si="11"/>
        <v>0</v>
      </c>
      <c r="B76" s="121">
        <v>0</v>
      </c>
      <c r="C76" s="122">
        <v>0</v>
      </c>
      <c r="D76" s="165"/>
      <c r="E76" s="165"/>
      <c r="F76" s="165"/>
      <c r="G76" s="123">
        <v>0</v>
      </c>
      <c r="I76" s="98">
        <v>0</v>
      </c>
      <c r="J76" s="99">
        <v>0</v>
      </c>
      <c r="K76" s="167"/>
      <c r="L76" s="167"/>
      <c r="M76" s="167"/>
      <c r="N76" s="104">
        <v>0</v>
      </c>
    </row>
    <row r="77" spans="1:14" x14ac:dyDescent="0.25">
      <c r="B77" s="143">
        <v>45712</v>
      </c>
      <c r="C77" s="143">
        <v>45712</v>
      </c>
      <c r="D77" s="143"/>
      <c r="E77" s="143"/>
      <c r="F77" s="143"/>
      <c r="G77" s="143">
        <v>45712</v>
      </c>
    </row>
    <row r="78" spans="1:14" x14ac:dyDescent="0.25">
      <c r="B78" s="120"/>
    </row>
    <row r="80" spans="1:14" x14ac:dyDescent="0.25">
      <c r="B80" s="120" t="s">
        <v>92</v>
      </c>
      <c r="G80" s="143"/>
    </row>
  </sheetData>
  <sortState xmlns:xlrd2="http://schemas.microsoft.com/office/spreadsheetml/2017/richdata2" ref="G4:G14">
    <sortCondition descending="1" ref="G4"/>
  </sortState>
  <hyperlinks>
    <hyperlink ref="B80" r:id="rId1" xr:uid="{2418F8DC-AFBF-4F4E-B714-C2BAD370A7BC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BillEstimator</vt:lpstr>
      <vt:lpstr>Validation</vt:lpstr>
      <vt:lpstr>BillEstimator!Print_Area</vt:lpstr>
    </vt:vector>
  </TitlesOfParts>
  <Company>Buffalo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vukmancm</dc:creator>
  <cp:lastModifiedBy>Nowak, Joelle</cp:lastModifiedBy>
  <cp:lastPrinted>2025-02-24T21:09:54Z</cp:lastPrinted>
  <dcterms:created xsi:type="dcterms:W3CDTF">2013-03-06T16:14:08Z</dcterms:created>
  <dcterms:modified xsi:type="dcterms:W3CDTF">2025-07-15T20:30:17Z</dcterms:modified>
</cp:coreProperties>
</file>