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ALL FORMS\17 Forms\"/>
    </mc:Choice>
  </mc:AlternateContent>
  <workbookProtection workbookAlgorithmName="SHA-512" workbookHashValue="RxVuqvnAUqyIMYRprA9tpd8CzlgQN1jbWazKoS/9LGovfQv7TfET/m/a5RxFDPy/X0d6eM8lDmhBjDVJPEjqKg==" workbookSaltValue="Bb0u9O7ZZqeT9TqMqR7onA==" workbookSpinCount="100000" lockStructure="1"/>
  <bookViews>
    <workbookView xWindow="240" yWindow="255" windowWidth="18780" windowHeight="9825"/>
  </bookViews>
  <sheets>
    <sheet name="BillEstimator" sheetId="1" r:id="rId1"/>
    <sheet name="Validation" sheetId="2" state="hidden" r:id="rId2"/>
  </sheets>
  <definedNames>
    <definedName name="_xlnm.Print_Area" localSheetId="0">BillEstimator!$C$3:$H$58</definedName>
  </definedNames>
  <calcPr calcId="152511"/>
</workbook>
</file>

<file path=xl/calcChain.xml><?xml version="1.0" encoding="utf-8"?>
<calcChain xmlns="http://schemas.openxmlformats.org/spreadsheetml/2006/main">
  <c r="D31" i="1" l="1"/>
  <c r="D28" i="1" l="1"/>
  <c r="F21" i="1" l="1"/>
  <c r="N73" i="2" l="1"/>
  <c r="I64" i="2"/>
  <c r="I43" i="2" s="1"/>
  <c r="N75" i="2" l="1"/>
  <c r="M75" i="2"/>
  <c r="L75" i="2"/>
  <c r="K75" i="2"/>
  <c r="J75" i="2"/>
  <c r="I75" i="2"/>
  <c r="N74" i="2"/>
  <c r="M74" i="2"/>
  <c r="L74" i="2"/>
  <c r="K74" i="2"/>
  <c r="J74" i="2"/>
  <c r="I74" i="2"/>
  <c r="M73" i="2"/>
  <c r="L73" i="2"/>
  <c r="K73" i="2"/>
  <c r="J73" i="2"/>
  <c r="I73" i="2"/>
  <c r="N72" i="2"/>
  <c r="M72" i="2"/>
  <c r="L72" i="2"/>
  <c r="K72" i="2"/>
  <c r="J72" i="2"/>
  <c r="I72" i="2"/>
  <c r="N71" i="2"/>
  <c r="N50" i="2" s="1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65" i="2"/>
  <c r="M65" i="2"/>
  <c r="L65" i="2"/>
  <c r="K65" i="2"/>
  <c r="J65" i="2"/>
  <c r="I65" i="2"/>
  <c r="N64" i="2"/>
  <c r="M64" i="2"/>
  <c r="L64" i="2"/>
  <c r="K64" i="2"/>
  <c r="J64" i="2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I44" i="2" l="1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J43" i="2"/>
  <c r="K43" i="2"/>
  <c r="L43" i="2"/>
  <c r="M43" i="2"/>
  <c r="N43" i="2"/>
  <c r="A59" i="2" l="1"/>
  <c r="A58" i="2"/>
  <c r="B58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H38" i="1" l="1"/>
  <c r="F20" i="2" l="1"/>
  <c r="F19" i="2"/>
  <c r="N32" i="1"/>
  <c r="N25" i="1" l="1"/>
  <c r="N26" i="1"/>
  <c r="N28" i="1"/>
  <c r="N29" i="1"/>
  <c r="N30" i="1"/>
  <c r="D30" i="1" l="1"/>
  <c r="C36" i="2" l="1"/>
  <c r="B36" i="2"/>
  <c r="C32" i="2"/>
  <c r="B32" i="2"/>
  <c r="G5" i="2" l="1"/>
  <c r="G6" i="2" s="1"/>
  <c r="G7" i="2" s="1"/>
  <c r="G8" i="2" s="1"/>
  <c r="G9" i="2" s="1"/>
  <c r="G10" i="2" s="1"/>
  <c r="G11" i="2" s="1"/>
  <c r="G12" i="2" s="1"/>
  <c r="G13" i="2" s="1"/>
  <c r="G14" i="2" s="1"/>
  <c r="D27" i="1" l="1"/>
  <c r="K17" i="1"/>
  <c r="K15" i="1"/>
  <c r="K13" i="1"/>
  <c r="B45" i="2" l="1"/>
  <c r="B49" i="2"/>
  <c r="B53" i="2"/>
  <c r="B43" i="2"/>
  <c r="B48" i="2"/>
  <c r="B52" i="2"/>
  <c r="B44" i="2"/>
  <c r="B47" i="2"/>
  <c r="B51" i="2"/>
  <c r="B55" i="2"/>
  <c r="B46" i="2"/>
  <c r="B50" i="2"/>
  <c r="B54" i="2"/>
  <c r="D25" i="1"/>
  <c r="D26" i="1"/>
  <c r="K25" i="1" l="1"/>
  <c r="D44" i="2"/>
  <c r="F44" i="2"/>
  <c r="H44" i="2"/>
  <c r="E44" i="2"/>
  <c r="G44" i="2"/>
  <c r="C44" i="2"/>
  <c r="E47" i="2"/>
  <c r="G47" i="2"/>
  <c r="D47" i="2"/>
  <c r="F47" i="2"/>
  <c r="H47" i="2"/>
  <c r="C47" i="2"/>
  <c r="E53" i="2"/>
  <c r="G53" i="2"/>
  <c r="D53" i="2"/>
  <c r="F53" i="2"/>
  <c r="H53" i="2"/>
  <c r="C53" i="2"/>
  <c r="E49" i="2"/>
  <c r="G49" i="2"/>
  <c r="D49" i="2"/>
  <c r="F49" i="2"/>
  <c r="H49" i="2"/>
  <c r="C49" i="2"/>
  <c r="E45" i="2"/>
  <c r="G45" i="2"/>
  <c r="D45" i="2"/>
  <c r="F45" i="2"/>
  <c r="H45" i="2"/>
  <c r="C45" i="2"/>
  <c r="D54" i="2"/>
  <c r="F54" i="2"/>
  <c r="H54" i="2"/>
  <c r="C54" i="2"/>
  <c r="E54" i="2"/>
  <c r="G54" i="2"/>
  <c r="D50" i="2"/>
  <c r="F50" i="2"/>
  <c r="H50" i="2"/>
  <c r="C50" i="2"/>
  <c r="E50" i="2"/>
  <c r="G50" i="2"/>
  <c r="D46" i="2"/>
  <c r="F46" i="2"/>
  <c r="H46" i="2"/>
  <c r="C46" i="2"/>
  <c r="E46" i="2"/>
  <c r="G46" i="2"/>
  <c r="E51" i="2"/>
  <c r="G51" i="2"/>
  <c r="D51" i="2"/>
  <c r="F51" i="2"/>
  <c r="H51" i="2"/>
  <c r="C51" i="2"/>
  <c r="D43" i="2"/>
  <c r="F43" i="2"/>
  <c r="E43" i="2"/>
  <c r="G43" i="2"/>
  <c r="C58" i="2" s="1"/>
  <c r="C43" i="2"/>
  <c r="H43" i="2"/>
  <c r="D52" i="2"/>
  <c r="F52" i="2"/>
  <c r="H52" i="2"/>
  <c r="C52" i="2"/>
  <c r="E52" i="2"/>
  <c r="G52" i="2"/>
  <c r="D48" i="2"/>
  <c r="F48" i="2"/>
  <c r="H48" i="2"/>
  <c r="C48" i="2"/>
  <c r="E48" i="2"/>
  <c r="G48" i="2"/>
  <c r="E55" i="2"/>
  <c r="G55" i="2"/>
  <c r="C55" i="2"/>
  <c r="D55" i="2"/>
  <c r="F55" i="2"/>
  <c r="H55" i="2"/>
  <c r="H37" i="1" l="1"/>
  <c r="H40" i="1" s="1"/>
  <c r="K26" i="1" l="1"/>
  <c r="K27" i="1" s="1"/>
  <c r="F45" i="1"/>
  <c r="K28" i="1" l="1"/>
  <c r="K29" i="1"/>
  <c r="K30" i="1" s="1"/>
  <c r="D29" i="1" l="1"/>
  <c r="D40" i="1" s="1"/>
  <c r="F44" i="1" s="1"/>
  <c r="F47" i="1" s="1"/>
  <c r="D47" i="1" s="1"/>
</calcChain>
</file>

<file path=xl/comments1.xml><?xml version="1.0" encoding="utf-8"?>
<comments xmlns="http://schemas.openxmlformats.org/spreadsheetml/2006/main">
  <authors>
    <author>vukmancm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 xml:space="preserve">Pell: </t>
        </r>
        <r>
          <rPr>
            <sz val="9"/>
            <color indexed="81"/>
            <rFont val="Tahoma"/>
            <family val="2"/>
          </rPr>
          <t xml:space="preserve"> Undergraduate only; working on 1st bachelor's degree.  Eligibility based on FAFSA.  Can receive if attending less than 12 credits.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SEOG:  </t>
        </r>
        <r>
          <rPr>
            <sz val="9"/>
            <color indexed="81"/>
            <rFont val="Tahoma"/>
            <family val="2"/>
          </rPr>
          <t>Undergraduate only; must also be eligible for the Pell grant.  Must file FAFSA.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 xml:space="preserve">TEACH:  </t>
        </r>
        <r>
          <rPr>
            <sz val="9"/>
            <color indexed="81"/>
            <rFont val="Tahoma"/>
            <family val="2"/>
          </rPr>
          <t>FAFSA, Agreement to Serve and Counseling required; eligible to specific teaching majors; GPA requirements.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NYS TAP</t>
        </r>
        <r>
          <rPr>
            <sz val="9"/>
            <color indexed="81"/>
            <rFont val="Tahoma"/>
            <family val="2"/>
          </rPr>
          <t xml:space="preserve">:  Must complete FAFSA at www.fafsa.gov and TAP Application.  Must be 12 credits.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 xml:space="preserve">SUNYTC:  </t>
        </r>
        <r>
          <rPr>
            <sz val="9"/>
            <color indexed="81"/>
            <rFont val="Tahoma"/>
            <family val="2"/>
          </rPr>
          <t>Available to students eligible for a TAP grant.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APTS</t>
        </r>
        <r>
          <rPr>
            <sz val="9"/>
            <color indexed="81"/>
            <rFont val="Tahoma"/>
            <family val="2"/>
          </rPr>
          <t xml:space="preserve">:  Separate application required.  Must file FAFSA and TAP application; must be part-time.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EOP Grant</t>
        </r>
        <r>
          <rPr>
            <sz val="9"/>
            <color indexed="81"/>
            <rFont val="Tahoma"/>
            <family val="2"/>
          </rPr>
          <t xml:space="preserve">:  For students admitted through EOP.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Subsidized Loan:</t>
        </r>
        <r>
          <rPr>
            <sz val="9"/>
            <color indexed="81"/>
            <rFont val="Tahoma"/>
            <family val="2"/>
          </rPr>
          <t xml:space="preserve"> FAFSA required; enrolled in at least 6 credits, must complete Entrance Counseling and MPN at www.studentloans.gov.  Actual disbursement is reduced by 1.073% due to an origination fee, paid to the U.S. Department of Education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 xml:space="preserve">Unsubsidized Loan: </t>
        </r>
        <r>
          <rPr>
            <sz val="9"/>
            <color indexed="81"/>
            <rFont val="Tahoma"/>
            <family val="2"/>
          </rPr>
          <t xml:space="preserve">FAFSA required; enrolled in at least 6 credits, must complete Entrance Counseling and MPN at www.studentloans.gov.  Actual disbursement is reduced by 1.073% due to an origination fee, paid to the U.S. Department of Education.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Perkins: </t>
        </r>
        <r>
          <rPr>
            <sz val="9"/>
            <color indexed="81"/>
            <rFont val="Tahoma"/>
            <family val="2"/>
          </rPr>
          <t xml:space="preserve"> FAFSA required; must be 6 credits and completed MPN with SUNY Loan Servicing.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PLUS:</t>
        </r>
        <r>
          <rPr>
            <sz val="9"/>
            <color indexed="81"/>
            <rFont val="Tahoma"/>
            <family val="2"/>
          </rPr>
          <t xml:space="preserve">  Separate application required.  Apply at www.studentloans.gov.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 xml:space="preserve">Other:  </t>
        </r>
        <r>
          <rPr>
            <sz val="9"/>
            <color indexed="81"/>
            <rFont val="Tahoma"/>
            <family val="2"/>
          </rPr>
          <t xml:space="preserve">Include any other scholarships, grants, or private loans not already listed above.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VA Benefit:</t>
        </r>
        <r>
          <rPr>
            <sz val="9"/>
            <color indexed="81"/>
            <rFont val="Tahoma"/>
            <family val="2"/>
          </rPr>
          <t xml:space="preserve">  Separate application(s) required.  Must be a veteran or dependent of veteran to receive benefits.  Contact the Veteran Office at 716-878-5907 or online at www.buffalostate.edu/continuingstudies/x526.xml.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Origination Fees</t>
        </r>
        <r>
          <rPr>
            <sz val="9"/>
            <color indexed="81"/>
            <rFont val="Tahoma"/>
            <family val="2"/>
          </rPr>
          <t xml:space="preserve"> are deducted upfront from the amount the student and/or parent borrows.  The full loan amount must be repaid including the loan fees.
</t>
        </r>
        <r>
          <rPr>
            <b/>
            <sz val="9"/>
            <color indexed="81"/>
            <rFont val="Tahoma"/>
            <family val="2"/>
          </rPr>
          <t>Subsidized and unsubsidized loans</t>
        </r>
        <r>
          <rPr>
            <sz val="9"/>
            <color indexed="81"/>
            <rFont val="Tahoma"/>
            <family val="2"/>
          </rPr>
          <t xml:space="preserve"> are charged a fee in the amount of 1.073% of the loan total.
</t>
        </r>
        <r>
          <rPr>
            <b/>
            <sz val="9"/>
            <color indexed="81"/>
            <rFont val="Tahoma"/>
            <family val="2"/>
          </rPr>
          <t>PLUS</t>
        </r>
        <r>
          <rPr>
            <sz val="9"/>
            <color indexed="81"/>
            <rFont val="Tahoma"/>
            <family val="2"/>
          </rPr>
          <t xml:space="preserve"> (Grad or Parent) loans are charged a fee in the amount of 4.292% of the loan total.  
</t>
        </r>
      </text>
    </comment>
  </commentList>
</comments>
</file>

<file path=xl/sharedStrings.xml><?xml version="1.0" encoding="utf-8"?>
<sst xmlns="http://schemas.openxmlformats.org/spreadsheetml/2006/main" count="173" uniqueCount="128">
  <si>
    <t>Residency</t>
  </si>
  <si>
    <t>In-State</t>
  </si>
  <si>
    <t>Out-of-State</t>
  </si>
  <si>
    <t>Dorm</t>
  </si>
  <si>
    <t>Off-Campus</t>
  </si>
  <si>
    <t>Student Level</t>
  </si>
  <si>
    <t>Undergraduate</t>
  </si>
  <si>
    <t>Credits</t>
  </si>
  <si>
    <t>12+</t>
  </si>
  <si>
    <t>NYS Residency</t>
  </si>
  <si>
    <t>Meal Plan</t>
  </si>
  <si>
    <t>Tuition</t>
  </si>
  <si>
    <t>Fees</t>
  </si>
  <si>
    <t>Parking</t>
  </si>
  <si>
    <t>Health Insurance</t>
  </si>
  <si>
    <t>Tuition-UG-In</t>
  </si>
  <si>
    <t>Tuition-UG-Out</t>
  </si>
  <si>
    <t>Fees-UG-In</t>
  </si>
  <si>
    <t>Fees-UG-Out</t>
  </si>
  <si>
    <t>Tuition-GR-In</t>
  </si>
  <si>
    <t>Tuition-GR-Out</t>
  </si>
  <si>
    <t>Fees-GR-In</t>
  </si>
  <si>
    <t>Fees-GR-Out</t>
  </si>
  <si>
    <t>Per Credit</t>
  </si>
  <si>
    <t>Full-Time</t>
  </si>
  <si>
    <t>Graduate</t>
  </si>
  <si>
    <t>Housing</t>
  </si>
  <si>
    <t>Meal Plans</t>
  </si>
  <si>
    <t>Health Insurnace</t>
  </si>
  <si>
    <t>No ($0)</t>
  </si>
  <si>
    <t>Parking Permit</t>
  </si>
  <si>
    <t>Yes ($70)</t>
  </si>
  <si>
    <t>Total Billed Charges</t>
  </si>
  <si>
    <t>VA Benefits</t>
  </si>
  <si>
    <t>Total Financial Aid</t>
  </si>
  <si>
    <t>Student Enrollment Profile</t>
  </si>
  <si>
    <t>Other</t>
  </si>
  <si>
    <t>Federal Pell Grant</t>
  </si>
  <si>
    <t>Federal SEOG</t>
  </si>
  <si>
    <t>Federal TEACH Grant</t>
  </si>
  <si>
    <t>NYS Aid for Part-Time Study</t>
  </si>
  <si>
    <t>EOP Grant</t>
  </si>
  <si>
    <t>None ($0)</t>
  </si>
  <si>
    <t>charges</t>
  </si>
  <si>
    <t>aid</t>
  </si>
  <si>
    <t>bal/(refund)</t>
  </si>
  <si>
    <t>Abs value of refund</t>
  </si>
  <si>
    <t>if positive, can have entire book def.</t>
  </si>
  <si>
    <t>Dining Dollars / BB</t>
  </si>
  <si>
    <t>NYS TAP Grant (Estimate)</t>
  </si>
  <si>
    <t>SUNY Tuition Credit (Estimate)</t>
  </si>
  <si>
    <t>Textbook Deferment</t>
  </si>
  <si>
    <t xml:space="preserve"> Total Billed Charges</t>
  </si>
  <si>
    <t xml:space="preserve"> Total Financial Aid</t>
  </si>
  <si>
    <t>Anticipated Balance Due / (Refund) per Semester</t>
  </si>
  <si>
    <r>
      <t>Number of Credits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</si>
  <si>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Loan Origination Fees</t>
  </si>
  <si>
    <t>PLUS</t>
  </si>
  <si>
    <t>Fee</t>
  </si>
  <si>
    <t>Net</t>
  </si>
  <si>
    <t>Federal Loan Origination Fees</t>
  </si>
  <si>
    <r>
      <t xml:space="preserve">Federal 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</si>
  <si>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Federal Unsubsidized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</si>
  <si>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Federal Perkins </t>
    </r>
    <r>
      <rPr>
        <u/>
        <sz val="11"/>
        <color theme="1"/>
        <rFont val="Calibri"/>
        <family val="2"/>
        <scheme val="minor"/>
      </rPr>
      <t>Loan</t>
    </r>
  </si>
  <si>
    <r>
      <t xml:space="preserve">PLUS (Grad or Parent) </t>
    </r>
    <r>
      <rPr>
        <u/>
        <sz val="11"/>
        <color theme="1"/>
        <rFont val="Calibri"/>
        <family val="2"/>
        <scheme val="minor"/>
      </rPr>
      <t>Loan</t>
    </r>
  </si>
  <si>
    <t>Anticipated Charges (1 semester)</t>
  </si>
  <si>
    <t>Anticipated Financial Aid (1 semester)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</si>
  <si>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Enter appropriate data in </t>
    </r>
    <r>
      <rPr>
        <b/>
        <sz val="11"/>
        <color theme="9" tint="-0.249977111117893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cells.  Students should refer to Banner or their award letter to</t>
    </r>
  </si>
  <si>
    <r>
      <t xml:space="preserve">complete the "Anticipated Financial Aid" section.  The tool is for </t>
    </r>
    <r>
      <rPr>
        <b/>
        <u/>
        <sz val="11"/>
        <color theme="1"/>
        <rFont val="Calibri"/>
        <family val="2"/>
        <scheme val="minor"/>
      </rPr>
      <t>estimation</t>
    </r>
    <r>
      <rPr>
        <sz val="11"/>
        <color theme="1"/>
        <rFont val="Calibri"/>
        <family val="2"/>
        <scheme val="minor"/>
      </rPr>
      <t xml:space="preserve"> purposes only.</t>
    </r>
  </si>
  <si>
    <t>Chapter 30</t>
  </si>
  <si>
    <t>Chapter 1606</t>
  </si>
  <si>
    <t>Chapter 1607</t>
  </si>
  <si>
    <t>1+ years</t>
  </si>
  <si>
    <t>2+years</t>
  </si>
  <si>
    <t>Chapter 35</t>
  </si>
  <si>
    <t>None</t>
  </si>
  <si>
    <t>Column refernce</t>
  </si>
  <si>
    <t>Chapter 33 - 100%</t>
  </si>
  <si>
    <t>Chapter 33 - 90%</t>
  </si>
  <si>
    <t>Chapter 33 - 80%</t>
  </si>
  <si>
    <t>Chapter 33 - 70%</t>
  </si>
  <si>
    <t>Chapter 33 - 60%</t>
  </si>
  <si>
    <t>Chapter 33 - 50%</t>
  </si>
  <si>
    <t>Chapter 33 - 40%</t>
  </si>
  <si>
    <t>Chapter 1607  &lt; 1 year</t>
  </si>
  <si>
    <t>Chapter 1607  &lt; 2 years</t>
  </si>
  <si>
    <t>Chapter 1607  2+ years</t>
  </si>
  <si>
    <t>&lt; 1 year</t>
  </si>
  <si>
    <t>Veterans Benefits Matrix</t>
  </si>
  <si>
    <t>WEEKLY RATES</t>
  </si>
  <si>
    <t>Dollar Amount</t>
  </si>
  <si>
    <t>Concat</t>
  </si>
  <si>
    <t>Benefit $$</t>
  </si>
  <si>
    <t>Selected Chapter / Credits</t>
  </si>
  <si>
    <t>VA Chapter</t>
  </si>
  <si>
    <t>Monthly Rates</t>
  </si>
  <si>
    <t>Moore - Family ($5,171)</t>
  </si>
  <si>
    <t>Moore - Single ($4,620)</t>
  </si>
  <si>
    <t>Contact Information</t>
  </si>
  <si>
    <t xml:space="preserve">Direct </t>
  </si>
  <si>
    <t>http://www.benefits.va.gov/GIBILL/resources/benefits_resources/rate_tables.asp</t>
  </si>
  <si>
    <r>
      <t>Housing Status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1</t>
    </r>
  </si>
  <si>
    <r>
      <t>Meal Plan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2</t>
    </r>
  </si>
  <si>
    <r>
      <t>Veteran Benefits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5</t>
    </r>
  </si>
  <si>
    <r>
      <t>Desired Textbook Deferment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6</t>
    </r>
  </si>
  <si>
    <t>© C.Auman, Financial Aid Office, SUNY Buffalo State</t>
  </si>
  <si>
    <t>No</t>
  </si>
  <si>
    <t>Yes (Spring)</t>
  </si>
  <si>
    <t>Yes (Fall &amp; Spring)</t>
  </si>
  <si>
    <r>
      <t xml:space="preserve">Health Insurance Needed? </t>
    </r>
    <r>
      <rPr>
        <b/>
        <u/>
        <vertAlign val="superscript"/>
        <sz val="11"/>
        <color theme="10"/>
        <rFont val="Calibri"/>
        <family val="2"/>
        <scheme val="minor"/>
      </rPr>
      <t xml:space="preserve">4 </t>
    </r>
  </si>
  <si>
    <t>Block 30***</t>
  </si>
  <si>
    <t>Standard Double ($3,891)</t>
  </si>
  <si>
    <t>Single ($4,741)</t>
  </si>
  <si>
    <t>Moore - Double ($4,383)</t>
  </si>
  <si>
    <t>STACS ($5,250)</t>
  </si>
  <si>
    <t>Dorm cost updated 2/8/16</t>
  </si>
  <si>
    <t>updated on:</t>
  </si>
  <si>
    <t>2016-17 ESTIMATION TOOL ONLY</t>
  </si>
  <si>
    <t>Meal updated 2/24/16</t>
  </si>
  <si>
    <t>Freedom 19* ($2,680)</t>
  </si>
  <si>
    <t>Balance 14* ($2,600)</t>
  </si>
  <si>
    <t>Block 175*  ($2,475)</t>
  </si>
  <si>
    <t>Flex Bonus 7** ($1,900)</t>
  </si>
  <si>
    <t>Block 75 ** ($1,850)</t>
  </si>
  <si>
    <t>Flex Plus 50**  ($1,770)</t>
  </si>
  <si>
    <t>Tuition updated 4/8/16</t>
  </si>
  <si>
    <t>Freshmen Triple^^ ($2,918)</t>
  </si>
  <si>
    <t>Revised 07/15/2016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</si>
</sst>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vertAlign val="superscript"/>
      <sz val="11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vertAlign val="superscript"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5" borderId="0" xfId="0" applyFill="1" applyProtection="1"/>
    <xf numFmtId="0" fontId="0" fillId="3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0" fontId="2" fillId="2" borderId="0" xfId="0" applyFont="1" applyFill="1" applyBorder="1" applyProtection="1"/>
    <xf numFmtId="0" fontId="2" fillId="2" borderId="8" xfId="0" applyFont="1" applyFill="1" applyBorder="1" applyProtection="1"/>
    <xf numFmtId="0" fontId="0" fillId="2" borderId="0" xfId="0" applyFont="1" applyFill="1" applyBorder="1" applyAlignment="1" applyProtection="1">
      <alignment vertical="top"/>
    </xf>
    <xf numFmtId="0" fontId="2" fillId="2" borderId="9" xfId="0" applyFont="1" applyFill="1" applyBorder="1" applyProtection="1"/>
    <xf numFmtId="0" fontId="2" fillId="3" borderId="0" xfId="0" applyFont="1" applyFill="1" applyProtection="1"/>
    <xf numFmtId="0" fontId="2" fillId="5" borderId="0" xfId="0" applyFont="1" applyFill="1" applyProtection="1"/>
    <xf numFmtId="0" fontId="6" fillId="6" borderId="2" xfId="0" applyFont="1" applyFill="1" applyBorder="1" applyAlignment="1" applyProtection="1">
      <alignment horizontal="centerContinuous" vertical="center"/>
    </xf>
    <xf numFmtId="0" fontId="5" fillId="6" borderId="3" xfId="0" applyFont="1" applyFill="1" applyBorder="1" applyAlignment="1" applyProtection="1">
      <alignment horizontal="centerContinuous" vertical="center"/>
    </xf>
    <xf numFmtId="0" fontId="5" fillId="6" borderId="4" xfId="0" applyFont="1" applyFill="1" applyBorder="1" applyAlignment="1" applyProtection="1">
      <alignment horizontal="centerContinuous" vertical="center"/>
    </xf>
    <xf numFmtId="0" fontId="0" fillId="3" borderId="0" xfId="0" applyFill="1" applyBorder="1" applyProtection="1"/>
    <xf numFmtId="0" fontId="0" fillId="5" borderId="0" xfId="0" applyFill="1" applyBorder="1" applyProtection="1"/>
    <xf numFmtId="0" fontId="2" fillId="2" borderId="0" xfId="0" applyFont="1" applyFill="1" applyBorder="1" applyAlignment="1" applyProtection="1">
      <alignment horizontal="left"/>
    </xf>
    <xf numFmtId="0" fontId="0" fillId="5" borderId="0" xfId="0" applyFont="1" applyFill="1" applyBorder="1" applyProtection="1"/>
    <xf numFmtId="0" fontId="4" fillId="2" borderId="8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Continuous" vertical="center"/>
    </xf>
    <xf numFmtId="0" fontId="4" fillId="4" borderId="4" xfId="0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Continuous" vertical="center"/>
    </xf>
    <xf numFmtId="0" fontId="4" fillId="2" borderId="9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1"/>
    </xf>
    <xf numFmtId="44" fontId="0" fillId="3" borderId="0" xfId="0" applyNumberFormat="1" applyFill="1" applyBorder="1" applyProtection="1"/>
    <xf numFmtId="7" fontId="0" fillId="3" borderId="0" xfId="0" applyNumberFormat="1" applyFill="1" applyProtection="1"/>
    <xf numFmtId="0" fontId="0" fillId="2" borderId="0" xfId="0" applyFill="1" applyProtection="1"/>
    <xf numFmtId="0" fontId="0" fillId="2" borderId="8" xfId="0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44" fontId="3" fillId="3" borderId="13" xfId="1" applyFont="1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4" fillId="4" borderId="3" xfId="0" applyFont="1" applyFill="1" applyBorder="1" applyAlignment="1" applyProtection="1">
      <alignment horizontal="centerContinuous" vertical="center"/>
    </xf>
    <xf numFmtId="0" fontId="4" fillId="3" borderId="0" xfId="0" applyFont="1" applyFill="1" applyAlignment="1" applyProtection="1">
      <alignment vertical="center"/>
    </xf>
    <xf numFmtId="44" fontId="0" fillId="2" borderId="0" xfId="1" applyFont="1" applyFill="1" applyBorder="1" applyProtection="1"/>
    <xf numFmtId="0" fontId="10" fillId="2" borderId="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/>
      <protection locked="0"/>
    </xf>
    <xf numFmtId="7" fontId="2" fillId="7" borderId="1" xfId="1" applyNumberFormat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Protection="1">
      <protection locked="0"/>
    </xf>
    <xf numFmtId="44" fontId="4" fillId="2" borderId="0" xfId="1" applyFont="1" applyFill="1" applyBorder="1" applyProtection="1">
      <protection hidden="1"/>
    </xf>
    <xf numFmtId="7" fontId="13" fillId="2" borderId="0" xfId="1" applyNumberFormat="1" applyFont="1" applyFill="1" applyBorder="1" applyProtection="1">
      <protection hidden="1"/>
    </xf>
    <xf numFmtId="7" fontId="14" fillId="2" borderId="0" xfId="1" applyNumberFormat="1" applyFont="1" applyFill="1" applyBorder="1" applyProtection="1">
      <protection hidden="1"/>
    </xf>
    <xf numFmtId="7" fontId="0" fillId="2" borderId="0" xfId="1" applyNumberFormat="1" applyFont="1" applyFill="1" applyBorder="1" applyProtection="1">
      <protection hidden="1"/>
    </xf>
    <xf numFmtId="7" fontId="13" fillId="3" borderId="12" xfId="1" applyNumberFormat="1" applyFont="1" applyFill="1" applyBorder="1" applyAlignment="1" applyProtection="1">
      <alignment vertical="center"/>
      <protection hidden="1"/>
    </xf>
    <xf numFmtId="44" fontId="3" fillId="3" borderId="12" xfId="0" applyNumberFormat="1" applyFont="1" applyFill="1" applyBorder="1" applyAlignment="1" applyProtection="1">
      <alignment vertical="center"/>
      <protection hidden="1"/>
    </xf>
    <xf numFmtId="44" fontId="3" fillId="3" borderId="12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</xf>
    <xf numFmtId="44" fontId="4" fillId="8" borderId="1" xfId="1" applyFont="1" applyFill="1" applyBorder="1" applyProtection="1">
      <protection hidden="1"/>
    </xf>
    <xf numFmtId="0" fontId="20" fillId="2" borderId="0" xfId="2" applyFont="1" applyFill="1" applyBorder="1" applyAlignment="1" applyProtection="1">
      <alignment horizontal="left" indent="1"/>
    </xf>
    <xf numFmtId="0" fontId="3" fillId="2" borderId="0" xfId="0" applyFont="1" applyFill="1" applyBorder="1" applyAlignment="1" applyProtection="1">
      <alignment horizontal="left" indent="1"/>
    </xf>
    <xf numFmtId="0" fontId="0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left"/>
    </xf>
    <xf numFmtId="0" fontId="28" fillId="2" borderId="0" xfId="2" applyFont="1" applyFill="1" applyBorder="1" applyAlignment="1" applyProtection="1">
      <alignment horizontal="left"/>
    </xf>
    <xf numFmtId="0" fontId="2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26" fillId="2" borderId="0" xfId="0" applyFont="1" applyFill="1"/>
    <xf numFmtId="0" fontId="0" fillId="2" borderId="0" xfId="0" applyFont="1" applyFill="1"/>
    <xf numFmtId="44" fontId="26" fillId="2" borderId="0" xfId="1" applyFont="1" applyFill="1"/>
    <xf numFmtId="164" fontId="0" fillId="2" borderId="0" xfId="3" applyNumberFormat="1" applyFont="1" applyFill="1"/>
    <xf numFmtId="164" fontId="25" fillId="2" borderId="0" xfId="3" applyNumberFormat="1" applyFont="1" applyFill="1"/>
    <xf numFmtId="164" fontId="26" fillId="2" borderId="0" xfId="3" applyNumberFormat="1" applyFont="1" applyFill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10" borderId="0" xfId="0" applyFont="1" applyFill="1"/>
    <xf numFmtId="0" fontId="0" fillId="9" borderId="0" xfId="0" applyFill="1"/>
    <xf numFmtId="0" fontId="2" fillId="13" borderId="0" xfId="0" applyFont="1" applyFill="1"/>
    <xf numFmtId="0" fontId="0" fillId="15" borderId="0" xfId="0" applyFill="1"/>
    <xf numFmtId="0" fontId="2" fillId="16" borderId="0" xfId="0" applyFont="1" applyFill="1"/>
    <xf numFmtId="0" fontId="0" fillId="12" borderId="0" xfId="0" applyFill="1"/>
    <xf numFmtId="0" fontId="0" fillId="18" borderId="0" xfId="0" applyFill="1"/>
    <xf numFmtId="0" fontId="0" fillId="19" borderId="0" xfId="0" applyFill="1"/>
    <xf numFmtId="0" fontId="2" fillId="20" borderId="0" xfId="0" applyFont="1" applyFill="1"/>
    <xf numFmtId="0" fontId="0" fillId="22" borderId="0" xfId="0" applyFill="1"/>
    <xf numFmtId="0" fontId="0" fillId="8" borderId="0" xfId="0" applyFill="1" applyAlignment="1">
      <alignment horizontal="center"/>
    </xf>
    <xf numFmtId="0" fontId="2" fillId="20" borderId="0" xfId="0" applyFont="1" applyFill="1" applyAlignment="1">
      <alignment horizontal="center"/>
    </xf>
    <xf numFmtId="166" fontId="0" fillId="18" borderId="0" xfId="1" applyNumberFormat="1" applyFont="1" applyFill="1"/>
    <xf numFmtId="166" fontId="0" fillId="9" borderId="0" xfId="1" applyNumberFormat="1" applyFont="1" applyFill="1"/>
    <xf numFmtId="166" fontId="0" fillId="15" borderId="0" xfId="1" applyNumberFormat="1" applyFont="1" applyFill="1"/>
    <xf numFmtId="0" fontId="2" fillId="21" borderId="2" xfId="0" applyFont="1" applyFill="1" applyBorder="1" applyAlignment="1">
      <alignment horizontal="centerContinuous"/>
    </xf>
    <xf numFmtId="0" fontId="0" fillId="21" borderId="3" xfId="0" applyFill="1" applyBorder="1" applyAlignment="1">
      <alignment horizontal="centerContinuous"/>
    </xf>
    <xf numFmtId="0" fontId="0" fillId="21" borderId="4" xfId="0" applyFill="1" applyBorder="1" applyAlignment="1">
      <alignment horizontal="centerContinuous"/>
    </xf>
    <xf numFmtId="0" fontId="27" fillId="17" borderId="0" xfId="0" applyFont="1" applyFill="1" applyAlignment="1">
      <alignment horizontal="centerContinuous"/>
    </xf>
    <xf numFmtId="0" fontId="27" fillId="26" borderId="0" xfId="0" applyFont="1" applyFill="1" applyAlignment="1">
      <alignment horizontal="centerContinuous"/>
    </xf>
    <xf numFmtId="165" fontId="2" fillId="26" borderId="10" xfId="4" applyNumberFormat="1" applyFont="1" applyFill="1" applyBorder="1"/>
    <xf numFmtId="44" fontId="4" fillId="18" borderId="0" xfId="1" applyFont="1" applyFill="1" applyBorder="1" applyProtection="1">
      <protection hidden="1"/>
    </xf>
    <xf numFmtId="44" fontId="0" fillId="18" borderId="0" xfId="0" applyNumberFormat="1" applyFill="1"/>
    <xf numFmtId="0" fontId="27" fillId="8" borderId="0" xfId="0" applyFont="1" applyFill="1" applyAlignment="1">
      <alignment horizontal="centerContinuous"/>
    </xf>
    <xf numFmtId="0" fontId="2" fillId="8" borderId="10" xfId="0" applyFont="1" applyFill="1" applyBorder="1"/>
    <xf numFmtId="0" fontId="27" fillId="16" borderId="0" xfId="0" applyFont="1" applyFill="1" applyAlignment="1">
      <alignment horizontal="centerContinuous"/>
    </xf>
    <xf numFmtId="0" fontId="2" fillId="16" borderId="10" xfId="0" applyFont="1" applyFill="1" applyBorder="1"/>
    <xf numFmtId="44" fontId="24" fillId="12" borderId="0" xfId="1" applyFont="1" applyFill="1" applyAlignment="1">
      <alignment vertical="center" wrapText="1"/>
    </xf>
    <xf numFmtId="44" fontId="24" fillId="11" borderId="0" xfId="1" applyFont="1" applyFill="1" applyAlignment="1">
      <alignment vertical="center" wrapText="1"/>
    </xf>
    <xf numFmtId="0" fontId="2" fillId="17" borderId="10" xfId="0" applyFont="1" applyFill="1" applyBorder="1"/>
    <xf numFmtId="44" fontId="24" fillId="19" borderId="0" xfId="1" applyFont="1" applyFill="1" applyAlignment="1">
      <alignment vertical="center" wrapText="1"/>
    </xf>
    <xf numFmtId="0" fontId="27" fillId="3" borderId="0" xfId="0" applyFont="1" applyFill="1" applyAlignment="1">
      <alignment horizontal="centerContinuous"/>
    </xf>
    <xf numFmtId="0" fontId="2" fillId="3" borderId="10" xfId="0" applyFont="1" applyFill="1" applyBorder="1"/>
    <xf numFmtId="44" fontId="24" fillId="23" borderId="0" xfId="1" applyFont="1" applyFill="1" applyAlignment="1">
      <alignment vertical="center" wrapText="1"/>
    </xf>
    <xf numFmtId="0" fontId="26" fillId="23" borderId="0" xfId="0" applyFont="1" applyFill="1"/>
    <xf numFmtId="0" fontId="2" fillId="23" borderId="10" xfId="0" applyFont="1" applyFill="1" applyBorder="1"/>
    <xf numFmtId="0" fontId="24" fillId="23" borderId="0" xfId="0" applyFont="1" applyFill="1" applyAlignment="1">
      <alignment horizontal="right" vertical="center" wrapText="1"/>
    </xf>
    <xf numFmtId="0" fontId="25" fillId="23" borderId="0" xfId="0" applyFont="1" applyFill="1"/>
    <xf numFmtId="0" fontId="0" fillId="25" borderId="15" xfId="0" applyFill="1" applyBorder="1"/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2" xfId="0" applyFont="1" applyFill="1" applyBorder="1"/>
    <xf numFmtId="0" fontId="2" fillId="13" borderId="16" xfId="0" applyFont="1" applyFill="1" applyBorder="1"/>
    <xf numFmtId="0" fontId="2" fillId="17" borderId="2" xfId="0" applyFont="1" applyFill="1" applyBorder="1"/>
    <xf numFmtId="0" fontId="2" fillId="17" borderId="4" xfId="0" applyFont="1" applyFill="1" applyBorder="1"/>
    <xf numFmtId="0" fontId="2" fillId="21" borderId="2" xfId="0" applyFont="1" applyFill="1" applyBorder="1"/>
    <xf numFmtId="0" fontId="2" fillId="21" borderId="4" xfId="0" applyFont="1" applyFill="1" applyBorder="1"/>
    <xf numFmtId="0" fontId="2" fillId="24" borderId="16" xfId="0" applyFont="1" applyFill="1" applyBorder="1"/>
    <xf numFmtId="0" fontId="29" fillId="14" borderId="16" xfId="0" applyFont="1" applyFill="1" applyBorder="1"/>
    <xf numFmtId="0" fontId="15" fillId="2" borderId="0" xfId="2" applyFill="1"/>
    <xf numFmtId="44" fontId="17" fillId="12" borderId="0" xfId="1" applyFont="1" applyFill="1" applyAlignment="1">
      <alignment vertical="center" wrapText="1"/>
    </xf>
    <xf numFmtId="44" fontId="17" fillId="11" borderId="0" xfId="1" applyFont="1" applyFill="1" applyAlignment="1">
      <alignment vertical="center" wrapText="1"/>
    </xf>
    <xf numFmtId="44" fontId="17" fillId="19" borderId="0" xfId="1" applyFont="1" applyFill="1" applyAlignment="1">
      <alignment vertical="center" wrapText="1"/>
    </xf>
    <xf numFmtId="44" fontId="17" fillId="23" borderId="0" xfId="1" applyFont="1" applyFill="1" applyAlignment="1">
      <alignment vertical="center" wrapText="1"/>
    </xf>
    <xf numFmtId="0" fontId="17" fillId="23" borderId="0" xfId="0" applyFont="1" applyFill="1"/>
    <xf numFmtId="0" fontId="30" fillId="23" borderId="0" xfId="0" applyFont="1" applyFill="1" applyAlignment="1">
      <alignment horizontal="right" vertical="center" wrapText="1"/>
    </xf>
    <xf numFmtId="44" fontId="30" fillId="12" borderId="0" xfId="1" applyFont="1" applyFill="1" applyAlignment="1">
      <alignment vertical="center" wrapText="1"/>
    </xf>
    <xf numFmtId="44" fontId="30" fillId="11" borderId="0" xfId="1" applyFont="1" applyFill="1" applyAlignment="1">
      <alignment vertical="center" wrapText="1"/>
    </xf>
    <xf numFmtId="44" fontId="30" fillId="19" borderId="0" xfId="1" applyFont="1" applyFill="1" applyAlignment="1">
      <alignment vertical="center" wrapText="1"/>
    </xf>
    <xf numFmtId="44" fontId="30" fillId="23" borderId="0" xfId="1" applyFont="1" applyFill="1" applyAlignment="1">
      <alignment vertical="center" wrapText="1"/>
    </xf>
    <xf numFmtId="0" fontId="30" fillId="23" borderId="0" xfId="0" applyFont="1" applyFill="1"/>
    <xf numFmtId="0" fontId="31" fillId="2" borderId="0" xfId="0" applyFont="1" applyFill="1" applyBorder="1" applyProtection="1"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44" fontId="0" fillId="2" borderId="0" xfId="0" applyNumberFormat="1" applyFill="1"/>
    <xf numFmtId="0" fontId="0" fillId="2" borderId="0" xfId="0" applyFill="1" applyBorder="1" applyAlignment="1" applyProtection="1">
      <alignment horizontal="left"/>
    </xf>
    <xf numFmtId="0" fontId="15" fillId="2" borderId="0" xfId="2" applyFill="1" applyBorder="1" applyAlignment="1" applyProtection="1">
      <alignment horizontal="right"/>
    </xf>
    <xf numFmtId="0" fontId="15" fillId="2" borderId="0" xfId="2" applyFill="1" applyBorder="1" applyAlignment="1" applyProtection="1">
      <alignment horizontal="left" indent="1"/>
    </xf>
    <xf numFmtId="0" fontId="10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Continuous"/>
    </xf>
    <xf numFmtId="0" fontId="22" fillId="2" borderId="0" xfId="0" applyFont="1" applyFill="1" applyBorder="1" applyAlignment="1" applyProtection="1">
      <alignment horizontal="right"/>
    </xf>
    <xf numFmtId="0" fontId="10" fillId="2" borderId="9" xfId="0" applyFont="1" applyFill="1" applyBorder="1" applyAlignment="1" applyProtection="1"/>
    <xf numFmtId="0" fontId="10" fillId="3" borderId="0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0" fillId="5" borderId="6" xfId="0" applyFill="1" applyBorder="1" applyAlignment="1" applyProtection="1">
      <alignment horizontal="centerContinuous"/>
    </xf>
    <xf numFmtId="0" fontId="25" fillId="7" borderId="1" xfId="0" applyFont="1" applyFill="1" applyBorder="1" applyAlignment="1" applyProtection="1">
      <alignment horizontal="left" wrapText="1"/>
      <protection locked="0"/>
    </xf>
    <xf numFmtId="0" fontId="33" fillId="2" borderId="0" xfId="2" applyFont="1" applyFill="1" applyBorder="1" applyAlignment="1" applyProtection="1">
      <alignment horizontal="left"/>
    </xf>
    <xf numFmtId="14" fontId="0" fillId="2" borderId="0" xfId="0" applyNumberFormat="1" applyFill="1"/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">
    <dxf>
      <font>
        <color theme="6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FFB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1445427</xdr:colOff>
      <xdr:row>2</xdr:row>
      <xdr:rowOff>264</xdr:rowOff>
    </xdr:from>
    <xdr:to>
      <xdr:col>5</xdr:col>
      <xdr:colOff>1375833</xdr:colOff>
      <xdr:row>5</xdr:row>
      <xdr:rowOff>124492</xdr:rowOff>
    </xdr:to>
    <xdr:pic>
      <xdr:nvPicPr>
        <xdr:cNvPr id="2" name="Picture 1" descr="http://collegerelations.buffalostate.edu/sites/collegerelations.buffalostate.edu/files/uploads/Images/Logos%20Print/1.%20Crest%20Logo%20Horizontal_CG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594" y="254264"/>
          <a:ext cx="3401739" cy="685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42337</xdr:colOff>
      <xdr:row>48</xdr:row>
      <xdr:rowOff>31757</xdr:rowOff>
    </xdr:from>
    <xdr:to>
      <xdr:col>7</xdr:col>
      <xdr:colOff>994836</xdr:colOff>
      <xdr:row>56</xdr:row>
      <xdr:rowOff>457200</xdr:rowOff>
    </xdr:to>
    <xdr:sp macro="" textlink="">
      <xdr:nvSpPr>
        <xdr:cNvPr id="3" name="TextBox 2"/>
        <xdr:cNvSpPr txBox="1"/>
      </xdr:nvSpPr>
      <xdr:spPr>
        <a:xfrm>
          <a:off x="442387" y="8623307"/>
          <a:ext cx="6524624" cy="2130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Housing</a:t>
          </a:r>
          <a:r>
            <a:rPr lang="en-US" sz="9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</a:t>
          </a:r>
          <a:r>
            <a:rPr lang="en-US" sz="95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estimated for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2016-17 as of February 8, 2016.  ^^ Fall 2016 Freshmen that are tripled and remain in a triple will have their room rate reduced by 25% from the standard double rate.  The Housing Office will determine when the rate reduction will be credited to the student's bill.</a:t>
          </a:r>
          <a:endParaRPr lang="en-US" sz="950" b="1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Meal plans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marked with * are required for freshmen;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lans marked with ** are required for sophomores; Plan marked with *** is an option for residents of STAC/Moore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Complex only.  R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ates are</a:t>
          </a:r>
          <a:r>
            <a:rPr lang="en-US" sz="950" b="0" u="non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estimated for 2016-17 as of February 24, 2016.</a:t>
          </a:r>
          <a:endParaRPr lang="en-US" sz="95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Full-time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 considered 12 credits or more.  Tuition and fees are assessed per credit until the student reaches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12 credits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</a:t>
          </a: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Health</a:t>
          </a:r>
          <a:r>
            <a:rPr lang="en-US" sz="950" b="1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insurance 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is required for all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full-time students.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Those that cannot show proof of insurance must purchase the college’s insurance plan.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Students beginning in Fall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must purchase the Fall/Spring plan;  Students beginning in Spring purchase the Spring plan.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Veterans Benefits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updated</a:t>
          </a: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February 2016.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Book deferments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are allowed only if the student has </a:t>
          </a:r>
          <a:r>
            <a:rPr lang="en-US" sz="950" b="0" u="sng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more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financial aid than anticipated charges. This calculator automatically reduces book deferments if the student is not eligible for the amount entered.  The maximum students may request in a book deferment is $750.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74806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accounts.buffalostate.edu/state-residency" TargetMode="External"/><Relationship Id="rId13" Type="http://schemas.openxmlformats.org/officeDocument/2006/relationships/hyperlink" Target="http://weigel.buffalostate.edu/insuranc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buffalostate.edu/residencelife/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dineoncampus.com/bsc/show.cfm?cmd=MealPlans" TargetMode="External"/><Relationship Id="rId12" Type="http://schemas.openxmlformats.org/officeDocument/2006/relationships/hyperlink" Target="http://residencelife.buffalostate.edu/" TargetMode="External"/><Relationship Id="rId17" Type="http://schemas.openxmlformats.org/officeDocument/2006/relationships/hyperlink" Target="http://residencelife.buffalostate.edu/" TargetMode="External"/><Relationship Id="rId2" Type="http://schemas.openxmlformats.org/officeDocument/2006/relationships/hyperlink" Target="http://studentaccounts.buffalostate.edu/tuition" TargetMode="External"/><Relationship Id="rId16" Type="http://schemas.openxmlformats.org/officeDocument/2006/relationships/hyperlink" Target="http://residencelife.buffalostate.edu/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studentaccounts.buffalostate.edu/tuition" TargetMode="External"/><Relationship Id="rId6" Type="http://schemas.openxmlformats.org/officeDocument/2006/relationships/hyperlink" Target="http://suny.buffalostate.edu/parkingpermits" TargetMode="External"/><Relationship Id="rId11" Type="http://schemas.openxmlformats.org/officeDocument/2006/relationships/hyperlink" Target="http://residencelife.buffalostate.edu/" TargetMode="External"/><Relationship Id="rId5" Type="http://schemas.openxmlformats.org/officeDocument/2006/relationships/hyperlink" Target="http://weigel.buffalostate.edu/insurance" TargetMode="External"/><Relationship Id="rId15" Type="http://schemas.openxmlformats.org/officeDocument/2006/relationships/hyperlink" Target="http://financialaid.buffalostate.edu/maximize-textbook-deferment" TargetMode="External"/><Relationship Id="rId10" Type="http://schemas.openxmlformats.org/officeDocument/2006/relationships/hyperlink" Target="http://financialaid.buffalostate.edu/contact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financialaid.buffalostate.edu/maximize-textbook-deferment" TargetMode="External"/><Relationship Id="rId9" Type="http://schemas.openxmlformats.org/officeDocument/2006/relationships/hyperlink" Target="http://www.gibill.va.gov/resources/benefits_resources/rate_tables.html" TargetMode="External"/><Relationship Id="rId14" Type="http://schemas.openxmlformats.org/officeDocument/2006/relationships/hyperlink" Target="http://suny.buffalostate.edu/parkingpermi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9"/>
  <sheetViews>
    <sheetView tabSelected="1" zoomScaleNormal="100" workbookViewId="0">
      <selection activeCell="C8" sqref="C8"/>
    </sheetView>
  </sheetViews>
  <sheetFormatPr defaultRowHeight="15" x14ac:dyDescent="0.25"/>
  <cols>
    <col min="1" max="2" width="3" style="1" customWidth="1"/>
    <col min="3" max="3" width="22.42578125" style="1" customWidth="1"/>
    <col min="4" max="4" width="24" style="1" customWidth="1"/>
    <col min="5" max="5" width="5.7109375" style="1" customWidth="1"/>
    <col min="6" max="6" width="29.42578125" style="1" customWidth="1"/>
    <col min="7" max="7" width="2" style="1" customWidth="1"/>
    <col min="8" max="8" width="15.28515625" style="1" customWidth="1"/>
    <col min="9" max="9" width="2.85546875" style="1" customWidth="1"/>
    <col min="10" max="10" width="9.140625" style="2" hidden="1" customWidth="1"/>
    <col min="11" max="11" width="12.140625" style="2" hidden="1" customWidth="1"/>
    <col min="12" max="13" width="9.140625" style="2" hidden="1" customWidth="1"/>
    <col min="14" max="16384" width="9.140625" style="1"/>
  </cols>
  <sheetData>
    <row r="1" spans="2:14" ht="15.75" thickBot="1" x14ac:dyDescent="0.3"/>
    <row r="2" spans="2:14" ht="3.75" customHeight="1" x14ac:dyDescent="0.25">
      <c r="B2" s="3"/>
      <c r="C2" s="4"/>
      <c r="D2" s="4"/>
      <c r="E2" s="4"/>
      <c r="F2" s="4"/>
      <c r="G2" s="4"/>
      <c r="H2" s="4"/>
      <c r="I2" s="5"/>
    </row>
    <row r="3" spans="2:14" ht="14.25" customHeight="1" x14ac:dyDescent="0.25">
      <c r="B3" s="6"/>
      <c r="C3" s="20"/>
      <c r="D3" s="7"/>
      <c r="E3" s="7"/>
      <c r="F3" s="7"/>
      <c r="G3" s="7"/>
      <c r="H3" s="149" t="s">
        <v>98</v>
      </c>
      <c r="I3" s="8"/>
    </row>
    <row r="4" spans="2:14" x14ac:dyDescent="0.25">
      <c r="B4" s="6"/>
      <c r="C4" s="7"/>
      <c r="D4" s="7"/>
      <c r="E4" s="7"/>
      <c r="F4" s="7"/>
      <c r="G4" s="7"/>
      <c r="H4" s="148"/>
      <c r="I4" s="8"/>
    </row>
    <row r="5" spans="2:14" x14ac:dyDescent="0.25">
      <c r="B5" s="6"/>
      <c r="C5" s="7"/>
      <c r="D5" s="7"/>
      <c r="E5" s="7"/>
      <c r="F5" s="7"/>
      <c r="G5" s="7"/>
      <c r="H5" s="7"/>
      <c r="I5" s="8"/>
    </row>
    <row r="6" spans="2:14" x14ac:dyDescent="0.25">
      <c r="B6" s="6"/>
      <c r="C6" s="7"/>
      <c r="D6" s="7"/>
      <c r="E6" s="7"/>
      <c r="F6" s="7"/>
      <c r="G6" s="7"/>
      <c r="H6" s="7"/>
      <c r="I6" s="8"/>
    </row>
    <row r="7" spans="2:14" ht="9" customHeight="1" x14ac:dyDescent="0.25">
      <c r="B7" s="6"/>
      <c r="C7" s="7"/>
      <c r="D7" s="7"/>
      <c r="E7" s="7"/>
      <c r="F7" s="7"/>
      <c r="G7" s="7"/>
      <c r="H7" s="7"/>
      <c r="I7" s="8"/>
    </row>
    <row r="8" spans="2:14" x14ac:dyDescent="0.25">
      <c r="B8" s="6"/>
      <c r="C8" s="9" t="s">
        <v>67</v>
      </c>
      <c r="D8" s="7"/>
      <c r="E8" s="7"/>
      <c r="F8" s="7"/>
      <c r="G8" s="7"/>
      <c r="H8" s="7"/>
      <c r="I8" s="8"/>
    </row>
    <row r="9" spans="2:14" ht="13.5" customHeight="1" x14ac:dyDescent="0.25">
      <c r="B9" s="6"/>
      <c r="C9" s="68" t="s">
        <v>68</v>
      </c>
      <c r="D9" s="7"/>
      <c r="E9" s="7"/>
      <c r="F9" s="7"/>
      <c r="G9" s="7"/>
      <c r="H9" s="7"/>
      <c r="I9" s="8"/>
    </row>
    <row r="10" spans="2:14" s="14" customFormat="1" ht="8.25" customHeight="1" thickBot="1" x14ac:dyDescent="0.3">
      <c r="B10" s="10"/>
      <c r="C10" s="11"/>
      <c r="D10" s="9"/>
      <c r="E10" s="9"/>
      <c r="F10" s="9"/>
      <c r="G10" s="9"/>
      <c r="H10" s="9"/>
      <c r="I10" s="12"/>
      <c r="J10" s="13"/>
      <c r="K10" s="13"/>
      <c r="L10" s="13"/>
      <c r="M10" s="13"/>
    </row>
    <row r="11" spans="2:14" ht="21.75" customHeight="1" thickBot="1" x14ac:dyDescent="0.3">
      <c r="B11" s="6"/>
      <c r="C11" s="15" t="s">
        <v>35</v>
      </c>
      <c r="D11" s="16"/>
      <c r="E11" s="16"/>
      <c r="F11" s="16"/>
      <c r="G11" s="16"/>
      <c r="H11" s="17"/>
      <c r="I11" s="8"/>
    </row>
    <row r="12" spans="2:14" x14ac:dyDescent="0.25">
      <c r="B12" s="6"/>
      <c r="C12" s="9"/>
      <c r="D12" s="7"/>
      <c r="E12" s="7"/>
      <c r="F12" s="7"/>
      <c r="G12" s="7"/>
      <c r="H12" s="7"/>
      <c r="I12" s="8"/>
    </row>
    <row r="13" spans="2:14" x14ac:dyDescent="0.25">
      <c r="B13" s="6"/>
      <c r="C13" s="70" t="s">
        <v>9</v>
      </c>
      <c r="D13" s="54" t="s">
        <v>1</v>
      </c>
      <c r="E13" s="7"/>
      <c r="F13" s="9" t="s">
        <v>5</v>
      </c>
      <c r="G13" s="9"/>
      <c r="H13" s="54" t="s">
        <v>6</v>
      </c>
      <c r="I13" s="8"/>
      <c r="J13" s="18"/>
      <c r="K13" s="18" t="str">
        <f>IF(D13="In-State","IN","OUT")</f>
        <v>IN</v>
      </c>
      <c r="L13" s="18"/>
      <c r="M13" s="18"/>
      <c r="N13" s="19"/>
    </row>
    <row r="14" spans="2:14" ht="6" customHeight="1" x14ac:dyDescent="0.25">
      <c r="B14" s="6"/>
      <c r="C14" s="70"/>
      <c r="D14" s="20"/>
      <c r="E14" s="7"/>
      <c r="F14" s="9"/>
      <c r="G14" s="7"/>
      <c r="H14" s="20"/>
      <c r="I14" s="8"/>
      <c r="J14" s="18"/>
      <c r="K14" s="18"/>
      <c r="L14" s="18"/>
      <c r="M14" s="18"/>
      <c r="N14" s="19"/>
    </row>
    <row r="15" spans="2:14" ht="17.25" x14ac:dyDescent="0.25">
      <c r="B15" s="6"/>
      <c r="C15" s="70" t="s">
        <v>101</v>
      </c>
      <c r="D15" s="54" t="s">
        <v>4</v>
      </c>
      <c r="E15" s="7"/>
      <c r="F15" s="160" t="s">
        <v>109</v>
      </c>
      <c r="G15" s="7"/>
      <c r="H15" s="159" t="s">
        <v>106</v>
      </c>
      <c r="I15" s="8"/>
      <c r="J15" s="18"/>
      <c r="K15" s="18" t="str">
        <f>IF(H13="Graduate","GR","UG")</f>
        <v>UG</v>
      </c>
      <c r="L15" s="18"/>
      <c r="M15" s="18"/>
      <c r="N15" s="19"/>
    </row>
    <row r="16" spans="2:14" ht="6" customHeight="1" x14ac:dyDescent="0.25">
      <c r="B16" s="6"/>
      <c r="C16" s="70"/>
      <c r="D16" s="20"/>
      <c r="E16" s="7"/>
      <c r="F16" s="70"/>
      <c r="G16" s="7"/>
      <c r="H16" s="20"/>
      <c r="I16" s="8"/>
      <c r="J16" s="18"/>
      <c r="K16" s="18"/>
      <c r="L16" s="18"/>
      <c r="M16" s="18"/>
      <c r="N16" s="19"/>
    </row>
    <row r="17" spans="2:14" ht="17.25" x14ac:dyDescent="0.25">
      <c r="B17" s="6"/>
      <c r="C17" s="70" t="s">
        <v>102</v>
      </c>
      <c r="D17" s="54" t="s">
        <v>42</v>
      </c>
      <c r="E17" s="7"/>
      <c r="F17" s="160" t="s">
        <v>30</v>
      </c>
      <c r="G17" s="7"/>
      <c r="H17" s="54" t="s">
        <v>29</v>
      </c>
      <c r="I17" s="8"/>
      <c r="J17" s="18"/>
      <c r="K17" s="18" t="str">
        <f>IF(D19="12+","2","1")</f>
        <v>2</v>
      </c>
      <c r="L17" s="18"/>
      <c r="M17" s="18"/>
      <c r="N17" s="19"/>
    </row>
    <row r="18" spans="2:14" ht="6" customHeight="1" x14ac:dyDescent="0.25">
      <c r="B18" s="6"/>
      <c r="C18" s="9"/>
      <c r="D18" s="20"/>
      <c r="E18" s="7"/>
      <c r="F18" s="9"/>
      <c r="G18" s="7"/>
      <c r="H18" s="20"/>
      <c r="I18" s="8"/>
      <c r="J18" s="18"/>
      <c r="K18" s="18"/>
      <c r="L18" s="18"/>
      <c r="M18" s="18"/>
      <c r="N18" s="19"/>
    </row>
    <row r="19" spans="2:14" ht="17.25" x14ac:dyDescent="0.25">
      <c r="B19" s="6"/>
      <c r="C19" s="9" t="s">
        <v>55</v>
      </c>
      <c r="D19" s="54" t="s">
        <v>8</v>
      </c>
      <c r="E19" s="7"/>
      <c r="F19" s="70" t="s">
        <v>104</v>
      </c>
      <c r="G19" s="7"/>
      <c r="H19" s="55">
        <v>0</v>
      </c>
      <c r="I19" s="8"/>
      <c r="J19" s="18"/>
      <c r="K19" s="18"/>
      <c r="L19" s="18"/>
      <c r="M19" s="18"/>
      <c r="N19" s="21"/>
    </row>
    <row r="20" spans="2:14" ht="6" customHeight="1" x14ac:dyDescent="0.25">
      <c r="B20" s="6"/>
      <c r="C20" s="9"/>
      <c r="D20" s="20"/>
      <c r="E20" s="7"/>
      <c r="F20" s="9"/>
      <c r="G20" s="7"/>
      <c r="H20" s="20"/>
      <c r="I20" s="8"/>
      <c r="J20" s="18"/>
      <c r="K20" s="18"/>
      <c r="L20" s="18"/>
      <c r="M20" s="18"/>
      <c r="N20" s="19"/>
    </row>
    <row r="21" spans="2:14" ht="17.25" x14ac:dyDescent="0.25">
      <c r="B21" s="6"/>
      <c r="C21" s="70" t="s">
        <v>103</v>
      </c>
      <c r="D21" s="54" t="s">
        <v>75</v>
      </c>
      <c r="E21" s="7"/>
      <c r="F21" s="145" t="str">
        <f>IF(D21&lt;&gt;"none","Your veterans benefits have been calculated below.","")</f>
        <v/>
      </c>
      <c r="G21" s="7"/>
      <c r="H21" s="9"/>
      <c r="I21" s="8"/>
      <c r="J21" s="18"/>
      <c r="K21" s="18"/>
      <c r="L21" s="18"/>
      <c r="M21" s="18"/>
      <c r="N21" s="21"/>
    </row>
    <row r="22" spans="2:14" ht="15.75" thickBot="1" x14ac:dyDescent="0.3">
      <c r="B22" s="6"/>
      <c r="C22" s="9"/>
      <c r="D22" s="9"/>
      <c r="E22" s="7"/>
      <c r="F22" s="9"/>
      <c r="G22" s="7"/>
      <c r="H22" s="9"/>
      <c r="I22" s="8"/>
      <c r="J22" s="18"/>
      <c r="K22" s="18"/>
      <c r="L22" s="18"/>
      <c r="M22" s="18"/>
      <c r="N22" s="21"/>
    </row>
    <row r="23" spans="2:14" s="28" customFormat="1" ht="20.25" customHeight="1" thickBot="1" x14ac:dyDescent="0.3">
      <c r="B23" s="22"/>
      <c r="C23" s="23" t="s">
        <v>65</v>
      </c>
      <c r="D23" s="24"/>
      <c r="E23" s="25"/>
      <c r="F23" s="23" t="s">
        <v>66</v>
      </c>
      <c r="G23" s="26"/>
      <c r="H23" s="24"/>
      <c r="I23" s="27"/>
      <c r="J23" s="18"/>
      <c r="K23" s="18"/>
      <c r="L23" s="18"/>
      <c r="M23" s="18"/>
      <c r="N23" s="21"/>
    </row>
    <row r="24" spans="2:14" ht="6" customHeight="1" x14ac:dyDescent="0.25">
      <c r="B24" s="6"/>
      <c r="C24" s="7"/>
      <c r="D24" s="7"/>
      <c r="E24" s="7"/>
      <c r="F24" s="7"/>
      <c r="G24" s="7"/>
      <c r="H24" s="7"/>
      <c r="I24" s="8"/>
      <c r="J24" s="18"/>
      <c r="K24" s="18"/>
      <c r="L24" s="18"/>
      <c r="M24" s="18"/>
      <c r="N24" s="21"/>
    </row>
    <row r="25" spans="2:14" ht="15.75" x14ac:dyDescent="0.25">
      <c r="B25" s="6"/>
      <c r="C25" s="150" t="s">
        <v>11</v>
      </c>
      <c r="D25" s="57">
        <f>IF($D$19="12+",VLOOKUP(C25&amp;"-"&amp;$K$15&amp;"-"&amp;$K$13,Validation!$A$28:$C$36,3,FALSE),VLOOKUP(C25&amp;"-"&amp;$K$15&amp;"-"&amp;$K$13,Validation!$A$28:$C$36,2,FALSE)*D19)</f>
        <v>3235</v>
      </c>
      <c r="E25" s="29"/>
      <c r="F25" s="30" t="s">
        <v>37</v>
      </c>
      <c r="G25" s="31"/>
      <c r="H25" s="56">
        <v>0</v>
      </c>
      <c r="I25" s="8"/>
      <c r="J25" s="18"/>
      <c r="K25" s="32">
        <f>SUM(D25:D28,D30:D35)</f>
        <v>3850.5</v>
      </c>
      <c r="L25" s="18" t="s">
        <v>43</v>
      </c>
      <c r="M25" s="18"/>
      <c r="N25" s="21" t="str">
        <f>IF($H$13="Graduate","  Not available for graduate students","")</f>
        <v/>
      </c>
    </row>
    <row r="26" spans="2:14" ht="15.75" x14ac:dyDescent="0.25">
      <c r="B26" s="6"/>
      <c r="C26" s="150" t="s">
        <v>12</v>
      </c>
      <c r="D26" s="57">
        <f>IF($D$19="12+",VLOOKUP(C26&amp;"-"&amp;$K$15&amp;"-"&amp;$K$13,Validation!$A$28:$C$36,3,FALSE),VLOOKUP(C26&amp;"-"&amp;$K$15&amp;"-"&amp;$K$13,Validation!$A$28:$C$36,2,FALSE)*$D$19)</f>
        <v>615.5</v>
      </c>
      <c r="E26" s="29"/>
      <c r="F26" s="30" t="s">
        <v>38</v>
      </c>
      <c r="G26" s="31"/>
      <c r="H26" s="56">
        <v>0</v>
      </c>
      <c r="I26" s="8"/>
      <c r="J26" s="18"/>
      <c r="K26" s="32">
        <f>H40</f>
        <v>0</v>
      </c>
      <c r="L26" s="18" t="s">
        <v>44</v>
      </c>
      <c r="M26" s="18"/>
      <c r="N26" s="21" t="str">
        <f>IF($H$13="Graduate","  Not available for graduate students","")</f>
        <v/>
      </c>
    </row>
    <row r="27" spans="2:14" ht="15.75" x14ac:dyDescent="0.25">
      <c r="B27" s="6"/>
      <c r="C27" s="150" t="s">
        <v>13</v>
      </c>
      <c r="D27" s="57">
        <f>VLOOKUP(H17,Validation!E3:F4,2,FALSE)</f>
        <v>0</v>
      </c>
      <c r="E27" s="29"/>
      <c r="F27" s="30" t="s">
        <v>39</v>
      </c>
      <c r="G27" s="31"/>
      <c r="H27" s="56">
        <v>0</v>
      </c>
      <c r="I27" s="8"/>
      <c r="J27" s="18"/>
      <c r="K27" s="32">
        <f>K25-K26</f>
        <v>3850.5</v>
      </c>
      <c r="L27" s="18" t="s">
        <v>45</v>
      </c>
      <c r="M27" s="18"/>
      <c r="N27" s="21"/>
    </row>
    <row r="28" spans="2:14" ht="15.75" x14ac:dyDescent="0.25">
      <c r="B28" s="6"/>
      <c r="C28" s="150" t="s">
        <v>14</v>
      </c>
      <c r="D28" s="57">
        <f>VLOOKUP(H15,Validation!C3:D5,2,FALSE)</f>
        <v>0</v>
      </c>
      <c r="E28" s="29"/>
      <c r="F28" s="30" t="s">
        <v>49</v>
      </c>
      <c r="G28" s="31"/>
      <c r="H28" s="56">
        <v>0</v>
      </c>
      <c r="I28" s="8"/>
      <c r="J28" s="18"/>
      <c r="K28" s="2" t="str">
        <f>IF(K27&lt;0,"elig","NE")</f>
        <v>NE</v>
      </c>
      <c r="M28" s="18"/>
      <c r="N28" s="21" t="str">
        <f>IF($H$13="Graduate","  Not available for graduate students","")</f>
        <v/>
      </c>
    </row>
    <row r="29" spans="2:14" ht="15.75" x14ac:dyDescent="0.25">
      <c r="B29" s="6"/>
      <c r="C29" s="150" t="s">
        <v>51</v>
      </c>
      <c r="D29" s="57">
        <f>IF(K28="NE",0,K30)</f>
        <v>0</v>
      </c>
      <c r="E29" s="29"/>
      <c r="F29" s="30" t="s">
        <v>50</v>
      </c>
      <c r="G29" s="31"/>
      <c r="H29" s="56">
        <v>0</v>
      </c>
      <c r="I29" s="8"/>
      <c r="J29" s="18"/>
      <c r="K29" s="2">
        <f>ABS(K27)</f>
        <v>3850.5</v>
      </c>
      <c r="L29" s="2" t="s">
        <v>46</v>
      </c>
      <c r="N29" s="21" t="str">
        <f>IF($H$13="Graduate","  Not available for graduate students","")</f>
        <v/>
      </c>
    </row>
    <row r="30" spans="2:14" ht="15.75" x14ac:dyDescent="0.25">
      <c r="B30" s="6"/>
      <c r="C30" s="150" t="s">
        <v>26</v>
      </c>
      <c r="D30" s="57">
        <f>VLOOKUP(D15,Validation!A8:B15,2,FALSE)</f>
        <v>0</v>
      </c>
      <c r="E30" s="29"/>
      <c r="F30" s="30" t="s">
        <v>40</v>
      </c>
      <c r="G30" s="31"/>
      <c r="H30" s="56">
        <v>0</v>
      </c>
      <c r="I30" s="8"/>
      <c r="J30" s="18"/>
      <c r="K30" s="33">
        <f>IF(H19="",0,MIN(K29,H19))</f>
        <v>0</v>
      </c>
      <c r="L30" s="2" t="s">
        <v>47</v>
      </c>
      <c r="N30" s="21" t="str">
        <f>IF($H$13="Graduate","  Not available for graduate students","")</f>
        <v/>
      </c>
    </row>
    <row r="31" spans="2:14" ht="15.75" x14ac:dyDescent="0.25">
      <c r="B31" s="6"/>
      <c r="C31" s="150" t="s">
        <v>10</v>
      </c>
      <c r="D31" s="57">
        <f>VLOOKUP(D17,Validation!A18:B25,2,FALSE)</f>
        <v>0</v>
      </c>
      <c r="E31" s="29"/>
      <c r="F31" s="30" t="s">
        <v>41</v>
      </c>
      <c r="G31" s="31"/>
      <c r="H31" s="56">
        <v>0</v>
      </c>
      <c r="I31" s="8"/>
      <c r="J31" s="18"/>
      <c r="N31" s="21"/>
    </row>
    <row r="32" spans="2:14" ht="15.75" x14ac:dyDescent="0.25">
      <c r="B32" s="6"/>
      <c r="C32" s="66" t="s">
        <v>48</v>
      </c>
      <c r="D32" s="56">
        <v>0</v>
      </c>
      <c r="E32" s="29"/>
      <c r="F32" s="30" t="s">
        <v>61</v>
      </c>
      <c r="G32" s="31"/>
      <c r="H32" s="56">
        <v>0</v>
      </c>
      <c r="I32" s="8"/>
      <c r="J32" s="18"/>
      <c r="K32" s="18"/>
      <c r="L32" s="18"/>
      <c r="M32" s="18"/>
      <c r="N32" s="21" t="str">
        <f>IF($H$13="Graduate","  Not available for graduate students","")</f>
        <v/>
      </c>
    </row>
    <row r="33" spans="2:14" ht="15.75" x14ac:dyDescent="0.25">
      <c r="B33" s="6"/>
      <c r="C33" s="31" t="s">
        <v>36</v>
      </c>
      <c r="D33" s="56">
        <v>0</v>
      </c>
      <c r="E33" s="29"/>
      <c r="F33" s="30" t="s">
        <v>62</v>
      </c>
      <c r="G33" s="31"/>
      <c r="H33" s="56">
        <v>0</v>
      </c>
      <c r="I33" s="8"/>
      <c r="J33" s="18"/>
      <c r="K33" s="32"/>
      <c r="L33" s="18"/>
      <c r="M33" s="18"/>
      <c r="N33" s="21"/>
    </row>
    <row r="34" spans="2:14" ht="15.75" x14ac:dyDescent="0.25">
      <c r="B34" s="6"/>
      <c r="C34" s="31" t="s">
        <v>36</v>
      </c>
      <c r="D34" s="56">
        <v>0</v>
      </c>
      <c r="E34" s="29"/>
      <c r="F34" s="30" t="s">
        <v>63</v>
      </c>
      <c r="G34" s="31"/>
      <c r="H34" s="56">
        <v>0</v>
      </c>
      <c r="I34" s="8"/>
      <c r="J34" s="18"/>
      <c r="K34" s="18"/>
      <c r="L34" s="18"/>
      <c r="M34" s="18"/>
      <c r="N34" s="19"/>
    </row>
    <row r="35" spans="2:14" ht="15.75" x14ac:dyDescent="0.25">
      <c r="B35" s="6"/>
      <c r="C35" s="31" t="s">
        <v>36</v>
      </c>
      <c r="D35" s="56">
        <v>0</v>
      </c>
      <c r="E35" s="29"/>
      <c r="F35" s="30" t="s">
        <v>64</v>
      </c>
      <c r="G35" s="31"/>
      <c r="H35" s="56">
        <v>0</v>
      </c>
      <c r="I35" s="8"/>
      <c r="J35" s="18"/>
      <c r="K35" s="18"/>
      <c r="L35" s="18"/>
      <c r="M35" s="18"/>
      <c r="N35" s="19"/>
    </row>
    <row r="36" spans="2:14" ht="15.75" x14ac:dyDescent="0.25">
      <c r="B36" s="6"/>
      <c r="C36" s="31" t="s">
        <v>36</v>
      </c>
      <c r="D36" s="56">
        <v>0</v>
      </c>
      <c r="E36" s="29"/>
      <c r="F36" s="30" t="s">
        <v>36</v>
      </c>
      <c r="G36" s="31"/>
      <c r="H36" s="56">
        <v>0</v>
      </c>
      <c r="I36" s="8"/>
      <c r="J36" s="18"/>
      <c r="K36" s="18"/>
      <c r="L36" s="18"/>
      <c r="M36" s="18"/>
      <c r="N36" s="19"/>
    </row>
    <row r="37" spans="2:14" ht="15.75" x14ac:dyDescent="0.25">
      <c r="B37" s="6"/>
      <c r="C37" s="31" t="s">
        <v>36</v>
      </c>
      <c r="D37" s="56">
        <v>0</v>
      </c>
      <c r="E37" s="29"/>
      <c r="F37" s="30" t="s">
        <v>33</v>
      </c>
      <c r="G37" s="29"/>
      <c r="H37" s="65">
        <f>IF(D21="none",0,Validation!C58)</f>
        <v>0</v>
      </c>
      <c r="I37" s="8"/>
      <c r="J37" s="18"/>
      <c r="K37" s="18"/>
      <c r="L37" s="18"/>
      <c r="M37" s="18"/>
      <c r="N37" s="19"/>
    </row>
    <row r="38" spans="2:14" ht="15.75" x14ac:dyDescent="0.25">
      <c r="B38" s="6"/>
      <c r="C38" s="34"/>
      <c r="D38" s="34"/>
      <c r="E38" s="29"/>
      <c r="F38" s="30" t="s">
        <v>60</v>
      </c>
      <c r="G38" s="31"/>
      <c r="H38" s="65">
        <f>-ROUNDUP((H32*Validation!E19+BillEstimator!H33*Validation!E19+BillEstimator!H35*Validation!E20),0)</f>
        <v>0</v>
      </c>
      <c r="I38" s="8"/>
      <c r="J38" s="18"/>
      <c r="K38" s="18"/>
      <c r="L38" s="18"/>
      <c r="M38" s="18"/>
      <c r="N38" s="19"/>
    </row>
    <row r="39" spans="2:14" ht="7.5" customHeight="1" thickBot="1" x14ac:dyDescent="0.3">
      <c r="B39" s="6"/>
      <c r="C39" s="7"/>
      <c r="D39" s="7"/>
      <c r="E39" s="7"/>
      <c r="F39" s="7"/>
      <c r="G39" s="7"/>
      <c r="H39" s="7"/>
      <c r="I39" s="8"/>
    </row>
    <row r="40" spans="2:14" s="41" customFormat="1" ht="21" customHeight="1" thickTop="1" thickBot="1" x14ac:dyDescent="0.3">
      <c r="B40" s="35"/>
      <c r="C40" s="36" t="s">
        <v>52</v>
      </c>
      <c r="D40" s="63">
        <f>SUM(D25:D37)</f>
        <v>3850.5</v>
      </c>
      <c r="E40" s="37"/>
      <c r="F40" s="36" t="s">
        <v>53</v>
      </c>
      <c r="G40" s="38"/>
      <c r="H40" s="62">
        <f>SUM(H25:H38)</f>
        <v>0</v>
      </c>
      <c r="I40" s="39"/>
      <c r="J40" s="40"/>
      <c r="K40" s="40"/>
      <c r="L40" s="40"/>
      <c r="M40" s="40"/>
    </row>
    <row r="41" spans="2:14" ht="16.5" thickTop="1" thickBot="1" x14ac:dyDescent="0.3">
      <c r="B41" s="6"/>
      <c r="C41" s="7"/>
      <c r="D41" s="7"/>
      <c r="E41" s="7"/>
      <c r="F41" s="7"/>
      <c r="G41" s="7"/>
      <c r="H41" s="7"/>
      <c r="I41" s="8"/>
    </row>
    <row r="42" spans="2:14" s="28" customFormat="1" ht="20.25" customHeight="1" thickBot="1" x14ac:dyDescent="0.3">
      <c r="B42" s="22"/>
      <c r="C42" s="25"/>
      <c r="D42" s="23" t="s">
        <v>54</v>
      </c>
      <c r="E42" s="42"/>
      <c r="F42" s="24"/>
      <c r="G42" s="25"/>
      <c r="H42" s="25"/>
      <c r="I42" s="27"/>
      <c r="J42" s="43"/>
      <c r="K42" s="43"/>
      <c r="L42" s="43"/>
      <c r="M42" s="43"/>
    </row>
    <row r="43" spans="2:14" ht="8.25" customHeight="1" x14ac:dyDescent="0.25">
      <c r="B43" s="6"/>
      <c r="C43" s="7"/>
      <c r="D43" s="7"/>
      <c r="E43" s="7"/>
      <c r="F43" s="44"/>
      <c r="G43" s="7"/>
      <c r="H43" s="7"/>
      <c r="I43" s="8"/>
    </row>
    <row r="44" spans="2:14" ht="15.75" x14ac:dyDescent="0.25">
      <c r="B44" s="6"/>
      <c r="C44" s="7"/>
      <c r="D44" s="67" t="s">
        <v>32</v>
      </c>
      <c r="E44" s="7"/>
      <c r="F44" s="58">
        <f>D40</f>
        <v>3850.5</v>
      </c>
      <c r="G44" s="7"/>
      <c r="H44" s="7"/>
      <c r="I44" s="8"/>
    </row>
    <row r="45" spans="2:14" ht="15.75" x14ac:dyDescent="0.25">
      <c r="B45" s="6"/>
      <c r="C45" s="7"/>
      <c r="D45" s="67" t="s">
        <v>34</v>
      </c>
      <c r="E45" s="7"/>
      <c r="F45" s="59">
        <f>-H40</f>
        <v>0</v>
      </c>
      <c r="G45" s="7"/>
      <c r="H45" s="7"/>
      <c r="I45" s="8"/>
    </row>
    <row r="46" spans="2:14" ht="4.5" customHeight="1" thickBot="1" x14ac:dyDescent="0.3">
      <c r="B46" s="6"/>
      <c r="C46" s="7"/>
      <c r="D46" s="30"/>
      <c r="E46" s="7"/>
      <c r="F46" s="60"/>
      <c r="G46" s="7"/>
      <c r="H46" s="7"/>
      <c r="I46" s="8"/>
    </row>
    <row r="47" spans="2:14" s="50" customFormat="1" ht="19.5" customHeight="1" thickTop="1" thickBot="1" x14ac:dyDescent="0.3">
      <c r="B47" s="45"/>
      <c r="C47" s="46"/>
      <c r="D47" s="146" t="str">
        <f>IF(F47&lt;0,"Refund for semester",IF(F47&gt;0,"Amount owed for semester:","Balance / (Refund)"))</f>
        <v>Amount owed for semester:</v>
      </c>
      <c r="E47" s="47"/>
      <c r="F47" s="61">
        <f>F44+F45</f>
        <v>3850.5</v>
      </c>
      <c r="G47" s="46"/>
      <c r="H47" s="46"/>
      <c r="I47" s="48"/>
      <c r="J47" s="49"/>
      <c r="K47" s="49"/>
      <c r="L47" s="49"/>
      <c r="M47" s="49"/>
    </row>
    <row r="48" spans="2:14" s="50" customFormat="1" ht="15.75" customHeight="1" thickTop="1" x14ac:dyDescent="0.25">
      <c r="B48" s="45"/>
      <c r="C48" s="64"/>
      <c r="D48" s="64"/>
      <c r="E48" s="64"/>
      <c r="F48" s="64"/>
      <c r="G48" s="64"/>
      <c r="H48" s="64"/>
      <c r="I48" s="48"/>
      <c r="J48" s="49"/>
      <c r="K48" s="49"/>
      <c r="L48" s="49"/>
      <c r="M48" s="49"/>
    </row>
    <row r="49" spans="2:14" s="50" customFormat="1" ht="15.75" customHeight="1" x14ac:dyDescent="0.25">
      <c r="B49" s="45"/>
      <c r="C49" s="51"/>
      <c r="D49" s="46"/>
      <c r="E49" s="46"/>
      <c r="F49" s="46"/>
      <c r="G49" s="46"/>
      <c r="H49" s="46"/>
      <c r="I49" s="48"/>
      <c r="J49" s="49"/>
      <c r="K49" s="49"/>
      <c r="L49" s="49"/>
      <c r="M49" s="49"/>
    </row>
    <row r="50" spans="2:14" s="50" customFormat="1" ht="15.75" customHeight="1" x14ac:dyDescent="0.25">
      <c r="B50" s="45"/>
      <c r="C50" s="51"/>
      <c r="D50" s="46"/>
      <c r="E50" s="46"/>
      <c r="F50" s="46"/>
      <c r="G50" s="46"/>
      <c r="H50" s="46"/>
      <c r="I50" s="48"/>
      <c r="J50" s="49"/>
      <c r="K50" s="49"/>
      <c r="L50" s="49"/>
      <c r="M50" s="49"/>
    </row>
    <row r="51" spans="2:14" s="50" customFormat="1" ht="15.75" customHeight="1" x14ac:dyDescent="0.25">
      <c r="B51" s="45"/>
      <c r="C51" s="51"/>
      <c r="D51" s="46"/>
      <c r="E51" s="46"/>
      <c r="F51" s="46"/>
      <c r="G51" s="46"/>
      <c r="H51" s="46"/>
      <c r="I51" s="48"/>
      <c r="J51" s="49"/>
      <c r="K51" s="49"/>
      <c r="L51" s="49"/>
      <c r="M51" s="49"/>
    </row>
    <row r="52" spans="2:14" s="50" customFormat="1" ht="14.25" customHeight="1" x14ac:dyDescent="0.25">
      <c r="B52" s="45"/>
      <c r="C52" s="51"/>
      <c r="D52" s="46"/>
      <c r="E52" s="46"/>
      <c r="F52" s="46"/>
      <c r="G52" s="46"/>
      <c r="H52" s="46"/>
      <c r="I52" s="48"/>
      <c r="J52" s="49"/>
      <c r="K52" s="49"/>
      <c r="L52" s="49"/>
      <c r="M52" s="49"/>
    </row>
    <row r="53" spans="2:14" s="50" customFormat="1" ht="15.75" customHeight="1" x14ac:dyDescent="0.25">
      <c r="B53" s="45"/>
      <c r="C53" s="51"/>
      <c r="D53" s="46"/>
      <c r="E53" s="46"/>
      <c r="F53" s="46"/>
      <c r="G53" s="46"/>
      <c r="H53" s="46"/>
      <c r="I53" s="48"/>
      <c r="J53" s="49"/>
      <c r="K53" s="49"/>
      <c r="L53" s="49"/>
      <c r="M53" s="49"/>
    </row>
    <row r="54" spans="2:14" s="50" customFormat="1" ht="15" customHeight="1" x14ac:dyDescent="0.25">
      <c r="B54" s="45"/>
      <c r="C54" s="51"/>
      <c r="D54" s="46"/>
      <c r="E54" s="46"/>
      <c r="F54" s="46"/>
      <c r="G54" s="46"/>
      <c r="H54" s="46"/>
      <c r="I54" s="48"/>
      <c r="J54" s="49"/>
      <c r="K54" s="49"/>
      <c r="L54" s="49"/>
      <c r="M54" s="49"/>
    </row>
    <row r="55" spans="2:14" s="50" customFormat="1" ht="15" customHeight="1" x14ac:dyDescent="0.25">
      <c r="B55" s="45"/>
      <c r="C55" s="51"/>
      <c r="D55" s="46"/>
      <c r="E55" s="46"/>
      <c r="F55" s="46"/>
      <c r="G55" s="46"/>
      <c r="H55" s="46"/>
      <c r="I55" s="48"/>
      <c r="J55" s="49"/>
      <c r="K55" s="49"/>
      <c r="L55" s="49"/>
      <c r="M55" s="49"/>
    </row>
    <row r="56" spans="2:14" s="50" customFormat="1" ht="27" customHeight="1" x14ac:dyDescent="0.25">
      <c r="B56" s="45"/>
      <c r="C56" s="46"/>
      <c r="D56" s="46"/>
      <c r="E56" s="46"/>
      <c r="F56" s="46"/>
      <c r="G56" s="46"/>
      <c r="H56" s="46"/>
      <c r="I56" s="48"/>
      <c r="J56" s="52"/>
      <c r="K56" s="52"/>
      <c r="L56" s="52"/>
      <c r="M56" s="52"/>
      <c r="N56" s="53"/>
    </row>
    <row r="57" spans="2:14" s="157" customFormat="1" ht="53.25" customHeight="1" x14ac:dyDescent="0.3">
      <c r="B57" s="151"/>
      <c r="C57" s="69" t="s">
        <v>127</v>
      </c>
      <c r="D57" s="152"/>
      <c r="E57" s="152"/>
      <c r="F57" s="152"/>
      <c r="G57" s="152"/>
      <c r="H57" s="153" t="s">
        <v>117</v>
      </c>
      <c r="I57" s="154"/>
      <c r="J57" s="155"/>
      <c r="K57" s="155"/>
      <c r="L57" s="155"/>
      <c r="M57" s="155"/>
      <c r="N57" s="156"/>
    </row>
    <row r="58" spans="2:14" ht="9" customHeight="1" thickBot="1" x14ac:dyDescent="0.3">
      <c r="B58" s="6"/>
      <c r="C58" s="7"/>
      <c r="D58" s="7"/>
      <c r="E58" s="7"/>
      <c r="F58" s="7"/>
      <c r="G58" s="7"/>
      <c r="H58" s="7"/>
      <c r="I58" s="8"/>
    </row>
    <row r="59" spans="2:14" x14ac:dyDescent="0.25">
      <c r="B59" s="158" t="s">
        <v>105</v>
      </c>
      <c r="C59" s="158"/>
      <c r="D59" s="158"/>
      <c r="E59" s="158"/>
      <c r="F59" s="158"/>
      <c r="G59" s="158"/>
      <c r="H59" s="158"/>
      <c r="I59" s="158"/>
    </row>
  </sheetData>
  <sheetProtection algorithmName="SHA-512" hashValue="OhDEs1KekgSMaRt0f6i1gqg+zFV9Ud5Mr1ibeq8PtQgLYhknHYxVpYMwDrPWjjRpOmOypomtSBqI9nKwmrTreQ==" saltValue="2jjxNWwLSiXnBW0gq+/mpQ==" spinCount="100000" sheet="1" objects="1" scenarios="1"/>
  <conditionalFormatting sqref="D47">
    <cfRule type="expression" dxfId="1" priority="2">
      <formula>$F$47&gt;0</formula>
    </cfRule>
  </conditionalFormatting>
  <conditionalFormatting sqref="F47">
    <cfRule type="expression" dxfId="0" priority="1">
      <formula>$F$47&lt;0</formula>
    </cfRule>
  </conditionalFormatting>
  <dataValidations xWindow="309" yWindow="454" count="8">
    <dataValidation type="decimal" showInputMessage="1" showErrorMessage="1" errorTitle="Warning" error="Enter a number between 0 and 750." prompt="Enter amount up to $750.  Only eligible amount will be displayed in charges below.  See Footnote #5 for more information." sqref="H19">
      <formula1>0</formula1>
      <formula2>750</formula2>
    </dataValidation>
    <dataValidation type="decimal" allowBlank="1" showInputMessage="1" showErrorMessage="1" errorTitle="Error" error="Maximum Pell grant is $2,908 per semester." sqref="H25">
      <formula1>0</formula1>
      <formula2>2908</formula2>
    </dataValidation>
    <dataValidation allowBlank="1" showInputMessage="1" showErrorMessage="1" prompt="Enter amount up to $750.  Only eligible amount will be displayed in charges below.  See Footnote #5 for more information." sqref="H22 D20 F22 H20 F19:F20"/>
    <dataValidation type="decimal" allowBlank="1" showInputMessage="1" showErrorMessage="1" errorTitle="error" error="Enter an amount between $0 and $5,000." sqref="D32:D37">
      <formula1>0</formula1>
      <formula2>5000</formula2>
    </dataValidation>
    <dataValidation type="decimal" allowBlank="1" showInputMessage="1" showErrorMessage="1" errorTitle="error" error="Enter amount between 0 and 2,000" sqref="H27">
      <formula1>0</formula1>
      <formula2>2000</formula2>
    </dataValidation>
    <dataValidation type="decimal" allowBlank="1" showInputMessage="1" showErrorMessage="1" errorTitle="error" error="Enter amount between $0 and $2,583." sqref="H28">
      <formula1>0</formula1>
      <formula2>2583</formula2>
    </dataValidation>
    <dataValidation type="decimal" allowBlank="1" showInputMessage="1" showErrorMessage="1" errorTitle="error" error="Enter amount between $0 and $800." sqref="H29">
      <formula1>0</formula1>
      <formula2>800</formula2>
    </dataValidation>
    <dataValidation type="decimal" allowBlank="1" showInputMessage="1" showErrorMessage="1" errorTitle="error" error="Review subsidized loan limits:_x000a_Freshmen: $3,500 per year or $1,750 per semster_x000a_Sophomore: $4,500 per year or $2,250 per semester_x000a_Juniors: $5,500 per year or $2,750 per semester_x000a_Seniors: $5,500 per year or $2,750 per semester_x000a_" sqref="H32">
      <formula1>0</formula1>
      <formula2>5500</formula2>
    </dataValidation>
  </dataValidations>
  <hyperlinks>
    <hyperlink ref="C25" r:id="rId1"/>
    <hyperlink ref="C26" r:id="rId2"/>
    <hyperlink ref="C30:C31" r:id="rId3" display="Housing"/>
    <hyperlink ref="C29" r:id="rId4"/>
    <hyperlink ref="C28" r:id="rId5"/>
    <hyperlink ref="C27" r:id="rId6"/>
    <hyperlink ref="C32" r:id="rId7" display="Dining Dollars or Begal Bucks"/>
    <hyperlink ref="C13" r:id="rId8"/>
    <hyperlink ref="C21" r:id="rId9" display="Veteran Benefits"/>
    <hyperlink ref="H3" r:id="rId10"/>
    <hyperlink ref="C15" r:id="rId11"/>
    <hyperlink ref="C17" r:id="rId12"/>
    <hyperlink ref="F15" r:id="rId13" display="Health Insurance4"/>
    <hyperlink ref="F17" r:id="rId14"/>
    <hyperlink ref="F19" r:id="rId15" display="Desired Textbook Deferment5"/>
    <hyperlink ref="C31" r:id="rId16"/>
    <hyperlink ref="C30" r:id="rId17"/>
  </hyperlinks>
  <printOptions horizontalCentered="1"/>
  <pageMargins left="0.25" right="0.25" top="0.25" bottom="0.25" header="0" footer="0.25"/>
  <pageSetup scale="91" orientation="portrait" r:id="rId18"/>
  <headerFooter>
    <oddFooter xml:space="preserve">&amp;R
</oddFooter>
  </headerFooter>
  <drawing r:id="rId19"/>
  <legacyDrawing r:id="rId20"/>
  <extLst>
    <ext xmlns:x14="http://schemas.microsoft.com/office/spreadsheetml/2009/9/main" uri="{CCE6A557-97BC-4b89-ADB6-D9C93CAAB3DF}">
      <x14:dataValidations xmlns:xm="http://schemas.microsoft.com/office/excel/2006/main" xWindow="309" yWindow="454" count="9">
        <x14:dataValidation type="list" allowBlank="1" showInputMessage="1" showErrorMessage="1" prompt="Select &quot;Out-of-State&quot; or &quot;In-State&quot;">
          <x14:formula1>
            <xm:f>Validation!$A$3:$A$4</xm:f>
          </x14:formula1>
          <xm:sqref>D13</xm:sqref>
        </x14:dataValidation>
        <x14:dataValidation type="list" allowBlank="1" showInputMessage="1" showErrorMessage="1">
          <x14:formula1>
            <xm:f>Validation!$G$3:$G$14</xm:f>
          </x14:formula1>
          <xm:sqref>D19</xm:sqref>
        </x14:dataValidation>
        <x14:dataValidation type="list" allowBlank="1" showInputMessage="1" showErrorMessage="1">
          <x14:formula1>
            <xm:f>Validation!$B$3:$B$4</xm:f>
          </x14:formula1>
          <xm:sqref>H13</xm:sqref>
        </x14:dataValidation>
        <x14:dataValidation type="list" allowBlank="1" showInputMessage="1" showErrorMessage="1">
          <x14:formula1>
            <xm:f>Validation!$E$3:$E$4</xm:f>
          </x14:formula1>
          <xm:sqref>H17</xm:sqref>
        </x14:dataValidation>
        <x14:dataValidation type="list" allowBlank="1" showInputMessage="1" showErrorMessage="1" error="Enter a number between 0 and $750." prompt="All full-time students are required to buy the college's health insurance or prove they are covered under another plan.">
          <x14:formula1>
            <xm:f>Validation!$C$3:$C$5</xm:f>
          </x14:formula1>
          <xm:sqref>H15</xm:sqref>
        </x14:dataValidation>
        <x14:dataValidation type="list" allowBlank="1" showInputMessage="1" showErrorMessage="1" prompt="Veterans and Dependents of Veterans Only:  Enter the type of veterans benefits you intend to use.">
          <x14:formula1>
            <xm:f>Validation!$H$3:$H$16</xm:f>
          </x14:formula1>
          <xm:sqref>D21</xm:sqref>
        </x14:dataValidation>
        <x14:dataValidation type="list" allowBlank="1" showInputMessage="1" showErrorMessage="1" prompt="Select expected meal plan.">
          <x14:formula1>
            <xm:f>Validation!$A$18:$A$25</xm:f>
          </x14:formula1>
          <xm:sqref>D17</xm:sqref>
        </x14:dataValidation>
        <x14:dataValidation type="list" allowBlank="1" showInputMessage="1" showErrorMessage="1">
          <x14:formula1>
            <xm:f>Validation!$A$8:$A$15</xm:f>
          </x14:formula1>
          <xm:sqref>D18</xm:sqref>
        </x14:dataValidation>
        <x14:dataValidation type="list" allowBlank="1" showInputMessage="1" showErrorMessage="1" prompt="Select expected housing option.  If not living on campus, choose &quot;off-campus&quot;">
          <x14:formula1>
            <xm:f>Validation!$A$8:$A$15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4" zoomScale="90" zoomScaleNormal="90" workbookViewId="0">
      <selection activeCell="C13" sqref="C13"/>
    </sheetView>
  </sheetViews>
  <sheetFormatPr defaultRowHeight="15" x14ac:dyDescent="0.25"/>
  <cols>
    <col min="1" max="1" width="24" style="72" bestFit="1" customWidth="1"/>
    <col min="2" max="2" width="18" style="72" customWidth="1"/>
    <col min="3" max="3" width="18.140625" style="72" customWidth="1"/>
    <col min="4" max="4" width="16" style="72" customWidth="1"/>
    <col min="5" max="5" width="15.85546875" style="72" bestFit="1" customWidth="1"/>
    <col min="6" max="6" width="15.85546875" style="72" customWidth="1"/>
    <col min="7" max="7" width="15.7109375" style="72" bestFit="1" customWidth="1"/>
    <col min="8" max="8" width="21.85546875" style="72" bestFit="1" customWidth="1"/>
    <col min="9" max="9" width="14.7109375" style="72" bestFit="1" customWidth="1"/>
    <col min="10" max="10" width="12.42578125" style="72" bestFit="1" customWidth="1"/>
    <col min="11" max="12" width="9.7109375" style="72" bestFit="1" customWidth="1"/>
    <col min="13" max="13" width="10" style="72" bestFit="1" customWidth="1"/>
    <col min="14" max="14" width="10.7109375" style="72" customWidth="1"/>
    <col min="15" max="16384" width="9.140625" style="72"/>
  </cols>
  <sheetData>
    <row r="1" spans="1:9" ht="15.75" thickBot="1" x14ac:dyDescent="0.3"/>
    <row r="2" spans="1:9" ht="15.75" thickBot="1" x14ac:dyDescent="0.3">
      <c r="A2" s="125" t="s">
        <v>0</v>
      </c>
      <c r="B2" s="126" t="s">
        <v>5</v>
      </c>
      <c r="C2" s="127" t="s">
        <v>28</v>
      </c>
      <c r="D2" s="128" t="s">
        <v>90</v>
      </c>
      <c r="E2" s="129" t="s">
        <v>30</v>
      </c>
      <c r="F2" s="130" t="s">
        <v>90</v>
      </c>
      <c r="G2" s="131" t="s">
        <v>7</v>
      </c>
      <c r="H2" s="132" t="s">
        <v>94</v>
      </c>
    </row>
    <row r="3" spans="1:9" x14ac:dyDescent="0.25">
      <c r="A3" s="85" t="s">
        <v>1</v>
      </c>
      <c r="B3" s="87" t="s">
        <v>6</v>
      </c>
      <c r="C3" s="91" t="s">
        <v>108</v>
      </c>
      <c r="D3" s="91">
        <v>1790</v>
      </c>
      <c r="E3" s="93" t="s">
        <v>31</v>
      </c>
      <c r="F3" s="93">
        <v>70</v>
      </c>
      <c r="G3" s="94" t="s">
        <v>8</v>
      </c>
      <c r="H3" s="87" t="s">
        <v>75</v>
      </c>
    </row>
    <row r="4" spans="1:9" x14ac:dyDescent="0.25">
      <c r="A4" s="85" t="s">
        <v>2</v>
      </c>
      <c r="B4" s="87" t="s">
        <v>25</v>
      </c>
      <c r="C4" s="91" t="s">
        <v>107</v>
      </c>
      <c r="D4" s="91">
        <v>1041</v>
      </c>
      <c r="E4" s="93" t="s">
        <v>29</v>
      </c>
      <c r="F4" s="93">
        <v>0</v>
      </c>
      <c r="G4" s="94">
        <v>11</v>
      </c>
      <c r="H4" s="87" t="s">
        <v>77</v>
      </c>
      <c r="I4" s="72">
        <v>2</v>
      </c>
    </row>
    <row r="5" spans="1:9" x14ac:dyDescent="0.25">
      <c r="C5" s="91" t="s">
        <v>106</v>
      </c>
      <c r="D5" s="91">
        <v>0</v>
      </c>
      <c r="G5" s="94">
        <f t="shared" ref="G5:G14" si="0">G4-1</f>
        <v>10</v>
      </c>
      <c r="H5" s="87" t="s">
        <v>78</v>
      </c>
      <c r="I5" s="72">
        <v>3</v>
      </c>
    </row>
    <row r="6" spans="1:9" x14ac:dyDescent="0.25">
      <c r="G6" s="94">
        <f t="shared" si="0"/>
        <v>9</v>
      </c>
      <c r="H6" s="87" t="s">
        <v>79</v>
      </c>
      <c r="I6" s="72">
        <v>4</v>
      </c>
    </row>
    <row r="7" spans="1:9" x14ac:dyDescent="0.25">
      <c r="A7" s="84" t="s">
        <v>3</v>
      </c>
      <c r="B7" s="84" t="s">
        <v>90</v>
      </c>
      <c r="C7" s="72" t="s">
        <v>115</v>
      </c>
      <c r="G7" s="94">
        <f t="shared" si="0"/>
        <v>8</v>
      </c>
      <c r="H7" s="87" t="s">
        <v>80</v>
      </c>
      <c r="I7" s="72">
        <v>5</v>
      </c>
    </row>
    <row r="8" spans="1:9" x14ac:dyDescent="0.25">
      <c r="A8" s="85" t="s">
        <v>111</v>
      </c>
      <c r="B8" s="97">
        <v>3891</v>
      </c>
      <c r="G8" s="94">
        <f t="shared" si="0"/>
        <v>7</v>
      </c>
      <c r="H8" s="87" t="s">
        <v>81</v>
      </c>
      <c r="I8" s="72">
        <v>6</v>
      </c>
    </row>
    <row r="9" spans="1:9" x14ac:dyDescent="0.25">
      <c r="A9" s="85" t="s">
        <v>126</v>
      </c>
      <c r="B9" s="97">
        <v>2918</v>
      </c>
      <c r="G9" s="94">
        <f t="shared" si="0"/>
        <v>6</v>
      </c>
      <c r="H9" s="87" t="s">
        <v>82</v>
      </c>
      <c r="I9" s="72">
        <v>7</v>
      </c>
    </row>
    <row r="10" spans="1:9" x14ac:dyDescent="0.25">
      <c r="A10" s="85" t="s">
        <v>112</v>
      </c>
      <c r="B10" s="97">
        <v>4741</v>
      </c>
      <c r="G10" s="94">
        <f t="shared" si="0"/>
        <v>5</v>
      </c>
      <c r="H10" s="87" t="s">
        <v>83</v>
      </c>
      <c r="I10" s="72">
        <v>8</v>
      </c>
    </row>
    <row r="11" spans="1:9" x14ac:dyDescent="0.25">
      <c r="A11" s="85" t="s">
        <v>96</v>
      </c>
      <c r="B11" s="97">
        <v>5171</v>
      </c>
      <c r="G11" s="94">
        <f t="shared" si="0"/>
        <v>4</v>
      </c>
      <c r="H11" s="87" t="s">
        <v>84</v>
      </c>
      <c r="I11" s="72">
        <v>11</v>
      </c>
    </row>
    <row r="12" spans="1:9" x14ac:dyDescent="0.25">
      <c r="A12" s="85" t="s">
        <v>113</v>
      </c>
      <c r="B12" s="97">
        <v>4383</v>
      </c>
      <c r="G12" s="94">
        <f t="shared" si="0"/>
        <v>3</v>
      </c>
      <c r="H12" s="87" t="s">
        <v>85</v>
      </c>
      <c r="I12" s="72">
        <v>12</v>
      </c>
    </row>
    <row r="13" spans="1:9" x14ac:dyDescent="0.25">
      <c r="A13" s="85" t="s">
        <v>97</v>
      </c>
      <c r="B13" s="97">
        <v>4620</v>
      </c>
      <c r="G13" s="94">
        <f t="shared" si="0"/>
        <v>2</v>
      </c>
      <c r="H13" s="87" t="s">
        <v>86</v>
      </c>
      <c r="I13" s="72">
        <v>13</v>
      </c>
    </row>
    <row r="14" spans="1:9" x14ac:dyDescent="0.25">
      <c r="A14" s="85" t="s">
        <v>114</v>
      </c>
      <c r="B14" s="97">
        <v>5250</v>
      </c>
      <c r="G14" s="94">
        <f t="shared" si="0"/>
        <v>1</v>
      </c>
      <c r="H14" s="87" t="s">
        <v>69</v>
      </c>
      <c r="I14" s="72">
        <v>9</v>
      </c>
    </row>
    <row r="15" spans="1:9" x14ac:dyDescent="0.25">
      <c r="A15" s="85" t="s">
        <v>4</v>
      </c>
      <c r="B15" s="97">
        <v>0</v>
      </c>
      <c r="H15" s="87" t="s">
        <v>70</v>
      </c>
      <c r="I15" s="72">
        <v>10</v>
      </c>
    </row>
    <row r="16" spans="1:9" x14ac:dyDescent="0.25">
      <c r="H16" s="87" t="s">
        <v>74</v>
      </c>
      <c r="I16" s="72">
        <v>14</v>
      </c>
    </row>
    <row r="17" spans="1:6" x14ac:dyDescent="0.25">
      <c r="A17" s="86" t="s">
        <v>27</v>
      </c>
      <c r="B17" s="86"/>
      <c r="C17" s="72" t="s">
        <v>118</v>
      </c>
    </row>
    <row r="18" spans="1:6" x14ac:dyDescent="0.25">
      <c r="A18" s="87" t="s">
        <v>119</v>
      </c>
      <c r="B18" s="98">
        <v>2680</v>
      </c>
      <c r="D18" s="88" t="s">
        <v>56</v>
      </c>
      <c r="E18" s="88" t="s">
        <v>58</v>
      </c>
      <c r="F18" s="88" t="s">
        <v>59</v>
      </c>
    </row>
    <row r="19" spans="1:6" x14ac:dyDescent="0.25">
      <c r="A19" s="87" t="s">
        <v>120</v>
      </c>
      <c r="B19" s="98">
        <v>2600</v>
      </c>
      <c r="D19" s="89" t="s">
        <v>99</v>
      </c>
      <c r="E19" s="89">
        <v>1.073E-2</v>
      </c>
      <c r="F19" s="89">
        <f>1-0.01051</f>
        <v>0.98948999999999998</v>
      </c>
    </row>
    <row r="20" spans="1:6" x14ac:dyDescent="0.25">
      <c r="A20" s="87" t="s">
        <v>121</v>
      </c>
      <c r="B20" s="98">
        <v>2475</v>
      </c>
      <c r="D20" s="89" t="s">
        <v>57</v>
      </c>
      <c r="E20" s="89">
        <v>4.2720000000000001E-2</v>
      </c>
      <c r="F20" s="89">
        <f>1-0.04204</f>
        <v>0.95796000000000003</v>
      </c>
    </row>
    <row r="21" spans="1:6" x14ac:dyDescent="0.25">
      <c r="A21" s="87" t="s">
        <v>122</v>
      </c>
      <c r="B21" s="98">
        <v>1900</v>
      </c>
    </row>
    <row r="22" spans="1:6" x14ac:dyDescent="0.25">
      <c r="A22" s="87" t="s">
        <v>123</v>
      </c>
      <c r="B22" s="98">
        <v>1850</v>
      </c>
    </row>
    <row r="23" spans="1:6" x14ac:dyDescent="0.25">
      <c r="A23" s="87" t="s">
        <v>124</v>
      </c>
      <c r="B23" s="98">
        <v>1770</v>
      </c>
    </row>
    <row r="24" spans="1:6" x14ac:dyDescent="0.25">
      <c r="A24" s="87" t="s">
        <v>110</v>
      </c>
      <c r="B24" s="98">
        <v>900</v>
      </c>
    </row>
    <row r="25" spans="1:6" x14ac:dyDescent="0.25">
      <c r="A25" s="87" t="s">
        <v>42</v>
      </c>
      <c r="B25" s="98">
        <v>0</v>
      </c>
    </row>
    <row r="26" spans="1:6" x14ac:dyDescent="0.25">
      <c r="A26" s="87"/>
      <c r="B26" s="98"/>
    </row>
    <row r="28" spans="1:6" x14ac:dyDescent="0.25">
      <c r="A28" s="92" t="s">
        <v>91</v>
      </c>
      <c r="B28" s="95" t="s">
        <v>23</v>
      </c>
      <c r="C28" s="95" t="s">
        <v>24</v>
      </c>
      <c r="D28" s="72" t="s">
        <v>125</v>
      </c>
    </row>
    <row r="29" spans="1:6" x14ac:dyDescent="0.25">
      <c r="A29" s="90" t="s">
        <v>15</v>
      </c>
      <c r="B29" s="96">
        <v>270</v>
      </c>
      <c r="C29" s="96">
        <v>3235</v>
      </c>
      <c r="D29" s="147"/>
    </row>
    <row r="30" spans="1:6" x14ac:dyDescent="0.25">
      <c r="A30" s="90" t="s">
        <v>16</v>
      </c>
      <c r="B30" s="96">
        <v>680</v>
      </c>
      <c r="C30" s="96">
        <v>8160</v>
      </c>
    </row>
    <row r="31" spans="1:6" x14ac:dyDescent="0.25">
      <c r="A31" s="90" t="s">
        <v>17</v>
      </c>
      <c r="B31" s="96">
        <v>51.15</v>
      </c>
      <c r="C31" s="96">
        <v>615.5</v>
      </c>
    </row>
    <row r="32" spans="1:6" x14ac:dyDescent="0.25">
      <c r="A32" s="90" t="s">
        <v>18</v>
      </c>
      <c r="B32" s="96">
        <f>B31</f>
        <v>51.15</v>
      </c>
      <c r="C32" s="96">
        <f>C31</f>
        <v>615.5</v>
      </c>
    </row>
    <row r="33" spans="1:17" x14ac:dyDescent="0.25">
      <c r="A33" s="90" t="s">
        <v>19</v>
      </c>
      <c r="B33" s="96">
        <v>453</v>
      </c>
      <c r="C33" s="96">
        <v>5435</v>
      </c>
    </row>
    <row r="34" spans="1:17" x14ac:dyDescent="0.25">
      <c r="A34" s="90" t="s">
        <v>20</v>
      </c>
      <c r="B34" s="96">
        <v>925</v>
      </c>
      <c r="C34" s="96">
        <v>11105</v>
      </c>
    </row>
    <row r="35" spans="1:17" x14ac:dyDescent="0.25">
      <c r="A35" s="90" t="s">
        <v>21</v>
      </c>
      <c r="B35" s="96">
        <v>28.77</v>
      </c>
      <c r="C35" s="96">
        <v>355.64</v>
      </c>
    </row>
    <row r="36" spans="1:17" x14ac:dyDescent="0.25">
      <c r="A36" s="90" t="s">
        <v>22</v>
      </c>
      <c r="B36" s="96">
        <f>B35</f>
        <v>28.77</v>
      </c>
      <c r="C36" s="96">
        <f>C35</f>
        <v>355.64</v>
      </c>
    </row>
    <row r="38" spans="1:17" ht="15.75" thickBot="1" x14ac:dyDescent="0.3"/>
    <row r="39" spans="1:17" ht="15.75" thickBot="1" x14ac:dyDescent="0.3">
      <c r="A39" s="99" t="s">
        <v>88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</row>
    <row r="40" spans="1:17" x14ac:dyDescent="0.25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1:17" s="76" customFormat="1" x14ac:dyDescent="0.35">
      <c r="A41" s="118"/>
      <c r="B41" s="103" t="s">
        <v>77</v>
      </c>
      <c r="C41" s="103" t="s">
        <v>78</v>
      </c>
      <c r="D41" s="103" t="s">
        <v>79</v>
      </c>
      <c r="E41" s="103" t="s">
        <v>80</v>
      </c>
      <c r="F41" s="103" t="s">
        <v>81</v>
      </c>
      <c r="G41" s="103" t="s">
        <v>82</v>
      </c>
      <c r="H41" s="103" t="s">
        <v>83</v>
      </c>
      <c r="I41" s="109" t="s">
        <v>69</v>
      </c>
      <c r="J41" s="107" t="s">
        <v>70</v>
      </c>
      <c r="K41" s="102" t="s">
        <v>71</v>
      </c>
      <c r="L41" s="102"/>
      <c r="M41" s="102"/>
      <c r="N41" s="115" t="s">
        <v>74</v>
      </c>
    </row>
    <row r="42" spans="1:17" s="71" customFormat="1" ht="15.75" thickBot="1" x14ac:dyDescent="0.3">
      <c r="A42" s="119" t="s">
        <v>7</v>
      </c>
      <c r="B42" s="104">
        <v>1</v>
      </c>
      <c r="C42" s="104">
        <v>0.9</v>
      </c>
      <c r="D42" s="104">
        <v>0.8</v>
      </c>
      <c r="E42" s="104">
        <v>0.7</v>
      </c>
      <c r="F42" s="104">
        <v>0.6</v>
      </c>
      <c r="G42" s="104">
        <v>0.5</v>
      </c>
      <c r="H42" s="104">
        <v>0.4</v>
      </c>
      <c r="I42" s="110"/>
      <c r="J42" s="108"/>
      <c r="K42" s="113" t="s">
        <v>87</v>
      </c>
      <c r="L42" s="113" t="s">
        <v>72</v>
      </c>
      <c r="M42" s="113" t="s">
        <v>73</v>
      </c>
      <c r="N42" s="116"/>
    </row>
    <row r="43" spans="1:17" s="71" customFormat="1" ht="15.75" x14ac:dyDescent="0.25">
      <c r="A43" s="120" t="s">
        <v>8</v>
      </c>
      <c r="B43" s="105">
        <f>(VLOOKUP(BillEstimator!$C$25&amp;"-"&amp;BillEstimator!$K$15&amp;"-"&amp;"IN",Validation!$A$28:$C$36,3,FALSE)+VLOOKUP(BillEstimator!$C$26&amp;"-"&amp;BillEstimator!$K$15&amp;"-"&amp;"IN",Validation!$A$28:$C$36,3,FALSE)+BillEstimator!$D$28)*Validation!B$42</f>
        <v>3850.5</v>
      </c>
      <c r="C43" s="105">
        <f>$B$43*C$42</f>
        <v>3465.4500000000003</v>
      </c>
      <c r="D43" s="105">
        <f t="shared" ref="D43:H43" si="1">$B$43*D$42</f>
        <v>3080.4</v>
      </c>
      <c r="E43" s="105">
        <f t="shared" si="1"/>
        <v>2695.35</v>
      </c>
      <c r="F43" s="105">
        <f t="shared" si="1"/>
        <v>2310.2999999999997</v>
      </c>
      <c r="G43" s="105">
        <f t="shared" si="1"/>
        <v>1925.25</v>
      </c>
      <c r="H43" s="105">
        <f t="shared" si="1"/>
        <v>1540.2</v>
      </c>
      <c r="I43" s="111">
        <f>I64*15</f>
        <v>6708.75</v>
      </c>
      <c r="J43" s="112">
        <f t="shared" ref="I43:N55" si="2">J64*15</f>
        <v>1380</v>
      </c>
      <c r="K43" s="114">
        <f t="shared" si="2"/>
        <v>2683.5</v>
      </c>
      <c r="L43" s="114">
        <f t="shared" si="2"/>
        <v>4025.2500000000005</v>
      </c>
      <c r="M43" s="114">
        <f t="shared" si="2"/>
        <v>5367</v>
      </c>
      <c r="N43" s="117">
        <f t="shared" si="2"/>
        <v>3828.75</v>
      </c>
      <c r="P43" s="77"/>
    </row>
    <row r="44" spans="1:17" ht="15.75" x14ac:dyDescent="0.25">
      <c r="A44" s="121">
        <v>11</v>
      </c>
      <c r="B44" s="105">
        <f>((VLOOKUP(BillEstimator!$C$25&amp;"-"&amp;BillEstimator!$K$15&amp;"-"&amp;"IN",Validation!$A$28:$C$36,2,FALSE)*$A44+VLOOKUP(BillEstimator!$C$26&amp;"-"&amp;BillEstimator!$K$15&amp;"-"&amp;"IN",Validation!$A$28:$C$36,2,FALSE)*$A44)+BillEstimator!$D$28)*Validation!B$42</f>
        <v>3532.65</v>
      </c>
      <c r="C44" s="106">
        <f t="shared" ref="C44:C55" si="3">$B44*C$42</f>
        <v>3179.3850000000002</v>
      </c>
      <c r="D44" s="106">
        <f t="shared" ref="D44:H44" si="4">$B44*D$42</f>
        <v>2826.1200000000003</v>
      </c>
      <c r="E44" s="106">
        <f t="shared" si="4"/>
        <v>2472.855</v>
      </c>
      <c r="F44" s="106">
        <f t="shared" si="4"/>
        <v>2119.59</v>
      </c>
      <c r="G44" s="106">
        <f t="shared" si="4"/>
        <v>1766.325</v>
      </c>
      <c r="H44" s="106">
        <f t="shared" si="4"/>
        <v>1413.0600000000002</v>
      </c>
      <c r="I44" s="111">
        <f t="shared" si="2"/>
        <v>5031.5625</v>
      </c>
      <c r="J44" s="112">
        <f t="shared" si="2"/>
        <v>1031.25</v>
      </c>
      <c r="K44" s="114">
        <f t="shared" si="2"/>
        <v>2012.6250000000002</v>
      </c>
      <c r="L44" s="114">
        <f t="shared" si="2"/>
        <v>3018.9375</v>
      </c>
      <c r="M44" s="114">
        <f t="shared" si="2"/>
        <v>4025.2500000000005</v>
      </c>
      <c r="N44" s="117">
        <f t="shared" si="2"/>
        <v>2868.75</v>
      </c>
      <c r="P44" s="77"/>
      <c r="Q44" s="78"/>
    </row>
    <row r="45" spans="1:17" ht="15.75" x14ac:dyDescent="0.25">
      <c r="A45" s="121">
        <f>A44-1</f>
        <v>10</v>
      </c>
      <c r="B45" s="105">
        <f>((VLOOKUP(BillEstimator!$C$25&amp;"-"&amp;BillEstimator!$K$15&amp;"-"&amp;"IN",Validation!$A$28:$C$36,2,FALSE)*$A45+VLOOKUP(BillEstimator!$C$26&amp;"-"&amp;BillEstimator!$K$15&amp;"-"&amp;"IN",Validation!$A$28:$C$36,2,FALSE)*$A45)+BillEstimator!$D$28)*Validation!B$42</f>
        <v>3211.5</v>
      </c>
      <c r="C45" s="106">
        <f t="shared" si="3"/>
        <v>2890.35</v>
      </c>
      <c r="D45" s="106">
        <f t="shared" ref="D45:H55" si="5">$B45*D$42</f>
        <v>2569.2000000000003</v>
      </c>
      <c r="E45" s="106">
        <f t="shared" si="5"/>
        <v>2248.0499999999997</v>
      </c>
      <c r="F45" s="106">
        <f t="shared" si="5"/>
        <v>1926.8999999999999</v>
      </c>
      <c r="G45" s="106">
        <f t="shared" si="5"/>
        <v>1605.75</v>
      </c>
      <c r="H45" s="106">
        <f t="shared" si="5"/>
        <v>1284.6000000000001</v>
      </c>
      <c r="I45" s="111">
        <f t="shared" si="2"/>
        <v>5031.5625</v>
      </c>
      <c r="J45" s="112">
        <f t="shared" si="2"/>
        <v>1031.25</v>
      </c>
      <c r="K45" s="114">
        <f t="shared" si="2"/>
        <v>2012.6250000000002</v>
      </c>
      <c r="L45" s="114">
        <f t="shared" si="2"/>
        <v>3018.9375</v>
      </c>
      <c r="M45" s="114">
        <f t="shared" si="2"/>
        <v>4025.2500000000005</v>
      </c>
      <c r="N45" s="117">
        <f t="shared" si="2"/>
        <v>2868.75</v>
      </c>
    </row>
    <row r="46" spans="1:17" ht="15.75" x14ac:dyDescent="0.25">
      <c r="A46" s="121">
        <f t="shared" ref="A46:A55" si="6">A45-1</f>
        <v>9</v>
      </c>
      <c r="B46" s="105">
        <f>((VLOOKUP(BillEstimator!$C$25&amp;"-"&amp;BillEstimator!$K$15&amp;"-"&amp;"IN",Validation!$A$28:$C$36,2,FALSE)*$A46+VLOOKUP(BillEstimator!$C$26&amp;"-"&amp;BillEstimator!$K$15&amp;"-"&amp;"IN",Validation!$A$28:$C$36,2,FALSE)*$A46)+BillEstimator!$D$28)*Validation!B$42</f>
        <v>2890.35</v>
      </c>
      <c r="C46" s="106">
        <f t="shared" si="3"/>
        <v>2601.3150000000001</v>
      </c>
      <c r="D46" s="106">
        <f t="shared" si="5"/>
        <v>2312.2800000000002</v>
      </c>
      <c r="E46" s="106">
        <f t="shared" si="5"/>
        <v>2023.2449999999999</v>
      </c>
      <c r="F46" s="106">
        <f t="shared" si="5"/>
        <v>1734.2099999999998</v>
      </c>
      <c r="G46" s="106">
        <f t="shared" si="5"/>
        <v>1445.175</v>
      </c>
      <c r="H46" s="106">
        <f t="shared" si="5"/>
        <v>1156.1400000000001</v>
      </c>
      <c r="I46" s="111">
        <f t="shared" si="2"/>
        <v>5031.5625</v>
      </c>
      <c r="J46" s="112">
        <f t="shared" si="2"/>
        <v>1031.25</v>
      </c>
      <c r="K46" s="114">
        <f t="shared" si="2"/>
        <v>2012.6250000000002</v>
      </c>
      <c r="L46" s="114">
        <f t="shared" si="2"/>
        <v>3018.9375</v>
      </c>
      <c r="M46" s="114">
        <f t="shared" si="2"/>
        <v>4025.2500000000005</v>
      </c>
      <c r="N46" s="117">
        <f t="shared" si="2"/>
        <v>2868.75</v>
      </c>
    </row>
    <row r="47" spans="1:17" ht="15.75" x14ac:dyDescent="0.25">
      <c r="A47" s="121">
        <f t="shared" si="6"/>
        <v>8</v>
      </c>
      <c r="B47" s="105">
        <f>((VLOOKUP(BillEstimator!$C$25&amp;"-"&amp;BillEstimator!$K$15&amp;"-"&amp;"IN",Validation!$A$28:$C$36,2,FALSE)*$A47+VLOOKUP(BillEstimator!$C$26&amp;"-"&amp;BillEstimator!$K$15&amp;"-"&amp;"IN",Validation!$A$28:$C$36,2,FALSE)*$A47)+BillEstimator!$D$28)*Validation!B$42</f>
        <v>2569.1999999999998</v>
      </c>
      <c r="C47" s="106">
        <f t="shared" si="3"/>
        <v>2312.2799999999997</v>
      </c>
      <c r="D47" s="106">
        <f t="shared" si="5"/>
        <v>2055.36</v>
      </c>
      <c r="E47" s="106">
        <f t="shared" si="5"/>
        <v>1798.4399999999998</v>
      </c>
      <c r="F47" s="106">
        <f t="shared" si="5"/>
        <v>1541.5199999999998</v>
      </c>
      <c r="G47" s="106">
        <f t="shared" si="5"/>
        <v>1284.5999999999999</v>
      </c>
      <c r="H47" s="106">
        <f t="shared" si="5"/>
        <v>1027.68</v>
      </c>
      <c r="I47" s="111">
        <f t="shared" si="2"/>
        <v>3354.375</v>
      </c>
      <c r="J47" s="112">
        <f t="shared" si="2"/>
        <v>686.25</v>
      </c>
      <c r="K47" s="114">
        <f t="shared" si="2"/>
        <v>1341.75</v>
      </c>
      <c r="L47" s="114">
        <f t="shared" si="2"/>
        <v>2012.6250000000002</v>
      </c>
      <c r="M47" s="114">
        <f t="shared" si="2"/>
        <v>2683.5</v>
      </c>
      <c r="N47" s="117">
        <f t="shared" si="2"/>
        <v>1905</v>
      </c>
    </row>
    <row r="48" spans="1:17" ht="15.75" x14ac:dyDescent="0.25">
      <c r="A48" s="121">
        <f t="shared" si="6"/>
        <v>7</v>
      </c>
      <c r="B48" s="105">
        <f>((VLOOKUP(BillEstimator!$C$25&amp;"-"&amp;BillEstimator!$K$15&amp;"-"&amp;"IN",Validation!$A$28:$C$36,2,FALSE)*$A48+VLOOKUP(BillEstimator!$C$26&amp;"-"&amp;BillEstimator!$K$15&amp;"-"&amp;"IN",Validation!$A$28:$C$36,2,FALSE)*$A48)+BillEstimator!$D$28)*Validation!B$42</f>
        <v>2248.0500000000002</v>
      </c>
      <c r="C48" s="106">
        <f t="shared" si="3"/>
        <v>2023.2450000000001</v>
      </c>
      <c r="D48" s="106">
        <f t="shared" si="5"/>
        <v>1798.4400000000003</v>
      </c>
      <c r="E48" s="106">
        <f t="shared" si="5"/>
        <v>1573.635</v>
      </c>
      <c r="F48" s="106">
        <f t="shared" si="5"/>
        <v>1348.8300000000002</v>
      </c>
      <c r="G48" s="106">
        <f t="shared" si="5"/>
        <v>1124.0250000000001</v>
      </c>
      <c r="H48" s="106">
        <f t="shared" si="5"/>
        <v>899.22000000000014</v>
      </c>
      <c r="I48" s="111">
        <f t="shared" si="2"/>
        <v>3354.375</v>
      </c>
      <c r="J48" s="112">
        <f t="shared" si="2"/>
        <v>686.25</v>
      </c>
      <c r="K48" s="114">
        <f t="shared" si="2"/>
        <v>1341.75</v>
      </c>
      <c r="L48" s="114">
        <f t="shared" si="2"/>
        <v>2012.6250000000002</v>
      </c>
      <c r="M48" s="114">
        <f t="shared" si="2"/>
        <v>2683.5</v>
      </c>
      <c r="N48" s="117">
        <f t="shared" si="2"/>
        <v>1905</v>
      </c>
    </row>
    <row r="49" spans="1:17" ht="15.75" x14ac:dyDescent="0.25">
      <c r="A49" s="121">
        <f t="shared" si="6"/>
        <v>6</v>
      </c>
      <c r="B49" s="105">
        <f>((VLOOKUP(BillEstimator!$C$25&amp;"-"&amp;BillEstimator!$K$15&amp;"-"&amp;"IN",Validation!$A$28:$C$36,2,FALSE)*$A49+VLOOKUP(BillEstimator!$C$26&amp;"-"&amp;BillEstimator!$K$15&amp;"-"&amp;"IN",Validation!$A$28:$C$36,2,FALSE)*$A49)+BillEstimator!$D$28)*Validation!B$42</f>
        <v>1926.9</v>
      </c>
      <c r="C49" s="106">
        <f t="shared" si="3"/>
        <v>1734.21</v>
      </c>
      <c r="D49" s="106">
        <f t="shared" si="5"/>
        <v>1541.5200000000002</v>
      </c>
      <c r="E49" s="106">
        <f t="shared" si="5"/>
        <v>1348.83</v>
      </c>
      <c r="F49" s="106">
        <f t="shared" si="5"/>
        <v>1156.1400000000001</v>
      </c>
      <c r="G49" s="106">
        <f t="shared" si="5"/>
        <v>963.45</v>
      </c>
      <c r="H49" s="106">
        <f t="shared" si="5"/>
        <v>770.7600000000001</v>
      </c>
      <c r="I49" s="111">
        <f t="shared" si="2"/>
        <v>3354.375</v>
      </c>
      <c r="J49" s="112">
        <f t="shared" si="2"/>
        <v>686.25</v>
      </c>
      <c r="K49" s="114">
        <f t="shared" si="2"/>
        <v>1341.75</v>
      </c>
      <c r="L49" s="114">
        <f t="shared" si="2"/>
        <v>2012.6250000000002</v>
      </c>
      <c r="M49" s="114">
        <f t="shared" si="2"/>
        <v>2683.5</v>
      </c>
      <c r="N49" s="117">
        <f t="shared" si="2"/>
        <v>1905</v>
      </c>
    </row>
    <row r="50" spans="1:17" ht="15.75" x14ac:dyDescent="0.25">
      <c r="A50" s="121">
        <f t="shared" si="6"/>
        <v>5</v>
      </c>
      <c r="B50" s="105">
        <f>((VLOOKUP(BillEstimator!$C$25&amp;"-"&amp;BillEstimator!$K$15&amp;"-"&amp;"IN",Validation!$A$28:$C$36,2,FALSE)*$A50+VLOOKUP(BillEstimator!$C$26&amp;"-"&amp;BillEstimator!$K$15&amp;"-"&amp;"IN",Validation!$A$28:$C$36,2,FALSE)*$A50)+BillEstimator!$D$28)*Validation!B$42</f>
        <v>1605.75</v>
      </c>
      <c r="C50" s="106">
        <f t="shared" si="3"/>
        <v>1445.175</v>
      </c>
      <c r="D50" s="106">
        <f t="shared" si="5"/>
        <v>1284.6000000000001</v>
      </c>
      <c r="E50" s="106">
        <f t="shared" si="5"/>
        <v>1124.0249999999999</v>
      </c>
      <c r="F50" s="106">
        <f t="shared" si="5"/>
        <v>963.44999999999993</v>
      </c>
      <c r="G50" s="106">
        <f t="shared" si="5"/>
        <v>802.875</v>
      </c>
      <c r="H50" s="106">
        <f t="shared" si="5"/>
        <v>642.30000000000007</v>
      </c>
      <c r="I50" s="111">
        <f t="shared" si="2"/>
        <v>3354.375</v>
      </c>
      <c r="J50" s="112">
        <f t="shared" si="2"/>
        <v>345</v>
      </c>
      <c r="K50" s="114">
        <f t="shared" si="2"/>
        <v>1341.75</v>
      </c>
      <c r="L50" s="114">
        <f t="shared" si="2"/>
        <v>2012.6250000000002</v>
      </c>
      <c r="M50" s="114">
        <f t="shared" si="2"/>
        <v>2683.5</v>
      </c>
      <c r="N50" s="117">
        <f t="shared" si="2"/>
        <v>1905</v>
      </c>
    </row>
    <row r="51" spans="1:17" ht="15.75" x14ac:dyDescent="0.25">
      <c r="A51" s="121">
        <f t="shared" si="6"/>
        <v>4</v>
      </c>
      <c r="B51" s="105">
        <f>((VLOOKUP(BillEstimator!$C$25&amp;"-"&amp;BillEstimator!$K$15&amp;"-"&amp;"IN",Validation!$A$28:$C$36,2,FALSE)*$A51+VLOOKUP(BillEstimator!$C$26&amp;"-"&amp;BillEstimator!$K$15&amp;"-"&amp;"IN",Validation!$A$28:$C$36,2,FALSE)*$A51)+BillEstimator!$D$28)*Validation!B$42</f>
        <v>1284.5999999999999</v>
      </c>
      <c r="C51" s="106">
        <f t="shared" si="3"/>
        <v>1156.1399999999999</v>
      </c>
      <c r="D51" s="106">
        <f t="shared" si="5"/>
        <v>1027.68</v>
      </c>
      <c r="E51" s="106">
        <f t="shared" si="5"/>
        <v>899.21999999999991</v>
      </c>
      <c r="F51" s="106">
        <f t="shared" si="5"/>
        <v>770.75999999999988</v>
      </c>
      <c r="G51" s="106">
        <f t="shared" si="5"/>
        <v>642.29999999999995</v>
      </c>
      <c r="H51" s="106">
        <f t="shared" si="5"/>
        <v>513.84</v>
      </c>
      <c r="I51" s="111">
        <f t="shared" si="2"/>
        <v>3354.375</v>
      </c>
      <c r="J51" s="112">
        <f t="shared" si="2"/>
        <v>345</v>
      </c>
      <c r="K51" s="114">
        <f t="shared" si="2"/>
        <v>1341.75</v>
      </c>
      <c r="L51" s="114">
        <f t="shared" si="2"/>
        <v>2012.6250000000002</v>
      </c>
      <c r="M51" s="114">
        <f t="shared" si="2"/>
        <v>2683.5</v>
      </c>
      <c r="N51" s="117">
        <f t="shared" si="2"/>
        <v>1905</v>
      </c>
      <c r="P51" s="77"/>
      <c r="Q51" s="79"/>
    </row>
    <row r="52" spans="1:17" ht="15.75" x14ac:dyDescent="0.25">
      <c r="A52" s="121">
        <f t="shared" si="6"/>
        <v>3</v>
      </c>
      <c r="B52" s="105">
        <f>((VLOOKUP(BillEstimator!$C$25&amp;"-"&amp;BillEstimator!$K$15&amp;"-"&amp;"IN",Validation!$A$28:$C$36,2,FALSE)*$A52+VLOOKUP(BillEstimator!$C$26&amp;"-"&amp;BillEstimator!$K$15&amp;"-"&amp;"IN",Validation!$A$28:$C$36,2,FALSE)*$A52)+BillEstimator!$D$28)*Validation!B$42</f>
        <v>963.45</v>
      </c>
      <c r="C52" s="106">
        <f t="shared" si="3"/>
        <v>867.10500000000002</v>
      </c>
      <c r="D52" s="106">
        <f t="shared" si="5"/>
        <v>770.7600000000001</v>
      </c>
      <c r="E52" s="106">
        <f t="shared" si="5"/>
        <v>674.41499999999996</v>
      </c>
      <c r="F52" s="106">
        <f t="shared" si="5"/>
        <v>578.07000000000005</v>
      </c>
      <c r="G52" s="106">
        <f t="shared" si="5"/>
        <v>481.72500000000002</v>
      </c>
      <c r="H52" s="106">
        <f t="shared" si="5"/>
        <v>385.38000000000005</v>
      </c>
      <c r="I52" s="111">
        <f t="shared" si="2"/>
        <v>1677.1875</v>
      </c>
      <c r="J52" s="112">
        <f t="shared" si="2"/>
        <v>345</v>
      </c>
      <c r="K52" s="114">
        <f t="shared" si="2"/>
        <v>670.875</v>
      </c>
      <c r="L52" s="114">
        <f t="shared" si="2"/>
        <v>1006.3125000000001</v>
      </c>
      <c r="M52" s="114">
        <f t="shared" si="2"/>
        <v>1341.75</v>
      </c>
      <c r="N52" s="117">
        <f t="shared" si="2"/>
        <v>957.1875</v>
      </c>
      <c r="Q52" s="80"/>
    </row>
    <row r="53" spans="1:17" ht="15.75" x14ac:dyDescent="0.25">
      <c r="A53" s="121">
        <f t="shared" si="6"/>
        <v>2</v>
      </c>
      <c r="B53" s="105">
        <f>((VLOOKUP(BillEstimator!$C$25&amp;"-"&amp;BillEstimator!$K$15&amp;"-"&amp;"IN",Validation!$A$28:$C$36,2,FALSE)*$A53+VLOOKUP(BillEstimator!$C$26&amp;"-"&amp;BillEstimator!$K$15&amp;"-"&amp;"IN",Validation!$A$28:$C$36,2,FALSE)*$A53)+BillEstimator!$D$28)*Validation!B$42</f>
        <v>642.29999999999995</v>
      </c>
      <c r="C53" s="106">
        <f t="shared" si="3"/>
        <v>578.06999999999994</v>
      </c>
      <c r="D53" s="106">
        <f t="shared" si="5"/>
        <v>513.84</v>
      </c>
      <c r="E53" s="106">
        <f t="shared" si="5"/>
        <v>449.60999999999996</v>
      </c>
      <c r="F53" s="106">
        <f t="shared" si="5"/>
        <v>385.37999999999994</v>
      </c>
      <c r="G53" s="106">
        <f t="shared" si="5"/>
        <v>321.14999999999998</v>
      </c>
      <c r="H53" s="106">
        <f t="shared" si="5"/>
        <v>256.92</v>
      </c>
      <c r="I53" s="111">
        <f t="shared" si="2"/>
        <v>1677.1875</v>
      </c>
      <c r="J53" s="112">
        <f t="shared" si="2"/>
        <v>345</v>
      </c>
      <c r="K53" s="114">
        <f t="shared" si="2"/>
        <v>670.875</v>
      </c>
      <c r="L53" s="114">
        <f t="shared" si="2"/>
        <v>1006.3125000000001</v>
      </c>
      <c r="M53" s="114">
        <f t="shared" si="2"/>
        <v>1341.75</v>
      </c>
      <c r="N53" s="117">
        <f t="shared" si="2"/>
        <v>957.1875</v>
      </c>
      <c r="Q53" s="79"/>
    </row>
    <row r="54" spans="1:17" ht="15.75" x14ac:dyDescent="0.25">
      <c r="A54" s="121">
        <f t="shared" si="6"/>
        <v>1</v>
      </c>
      <c r="B54" s="105">
        <f>((VLOOKUP(BillEstimator!$C$25&amp;"-"&amp;BillEstimator!$K$15&amp;"-"&amp;"IN",Validation!$A$28:$C$36,2,FALSE)*$A54+VLOOKUP(BillEstimator!$C$26&amp;"-"&amp;BillEstimator!$K$15&amp;"-"&amp;"IN",Validation!$A$28:$C$36,2,FALSE)*$A54)+BillEstimator!$D$28)*Validation!B$42</f>
        <v>321.14999999999998</v>
      </c>
      <c r="C54" s="106">
        <f t="shared" si="3"/>
        <v>289.03499999999997</v>
      </c>
      <c r="D54" s="106">
        <f t="shared" si="5"/>
        <v>256.92</v>
      </c>
      <c r="E54" s="106">
        <f t="shared" si="5"/>
        <v>224.80499999999998</v>
      </c>
      <c r="F54" s="106">
        <f t="shared" si="5"/>
        <v>192.68999999999997</v>
      </c>
      <c r="G54" s="106">
        <f t="shared" si="5"/>
        <v>160.57499999999999</v>
      </c>
      <c r="H54" s="106">
        <f t="shared" si="5"/>
        <v>128.46</v>
      </c>
      <c r="I54" s="111">
        <f t="shared" si="2"/>
        <v>1677.1875</v>
      </c>
      <c r="J54" s="112">
        <f t="shared" si="2"/>
        <v>345</v>
      </c>
      <c r="K54" s="114">
        <f t="shared" si="2"/>
        <v>670.875</v>
      </c>
      <c r="L54" s="114">
        <f t="shared" si="2"/>
        <v>1006.3125000000001</v>
      </c>
      <c r="M54" s="114">
        <f t="shared" si="2"/>
        <v>1341.75</v>
      </c>
      <c r="N54" s="117">
        <f t="shared" si="2"/>
        <v>957.1875</v>
      </c>
      <c r="Q54" s="79"/>
    </row>
    <row r="55" spans="1:17" ht="15.75" x14ac:dyDescent="0.25">
      <c r="A55" s="121">
        <f t="shared" si="6"/>
        <v>0</v>
      </c>
      <c r="B55" s="105">
        <f>((VLOOKUP(BillEstimator!$C$25&amp;"-"&amp;BillEstimator!$K$15&amp;"-"&amp;"IN",Validation!$A$28:$C$36,2,FALSE)*$A55+VLOOKUP(BillEstimator!$C$26&amp;"-"&amp;BillEstimator!$K$15&amp;"-"&amp;"IN",Validation!$A$28:$C$36,2,FALSE)*$A55)+BillEstimator!$D$28)*Validation!B$42</f>
        <v>0</v>
      </c>
      <c r="C55" s="106">
        <f t="shared" si="3"/>
        <v>0</v>
      </c>
      <c r="D55" s="106">
        <f t="shared" si="5"/>
        <v>0</v>
      </c>
      <c r="E55" s="106">
        <f t="shared" si="5"/>
        <v>0</v>
      </c>
      <c r="F55" s="106">
        <f t="shared" si="5"/>
        <v>0</v>
      </c>
      <c r="G55" s="106">
        <f t="shared" si="5"/>
        <v>0</v>
      </c>
      <c r="H55" s="106">
        <f t="shared" si="5"/>
        <v>0</v>
      </c>
      <c r="I55" s="111">
        <f t="shared" si="2"/>
        <v>0</v>
      </c>
      <c r="J55" s="112">
        <f t="shared" si="2"/>
        <v>0</v>
      </c>
      <c r="K55" s="114">
        <f t="shared" si="2"/>
        <v>0</v>
      </c>
      <c r="L55" s="114">
        <f t="shared" si="2"/>
        <v>0</v>
      </c>
      <c r="M55" s="114">
        <f t="shared" si="2"/>
        <v>0</v>
      </c>
      <c r="N55" s="117">
        <f t="shared" si="2"/>
        <v>0</v>
      </c>
      <c r="Q55" s="81"/>
    </row>
    <row r="56" spans="1:17" x14ac:dyDescent="0.25">
      <c r="A56" s="76"/>
      <c r="Q56" s="79"/>
    </row>
    <row r="57" spans="1:17" x14ac:dyDescent="0.25">
      <c r="A57" s="123" t="s">
        <v>93</v>
      </c>
      <c r="B57" s="124" t="s">
        <v>76</v>
      </c>
      <c r="C57" s="124" t="s">
        <v>92</v>
      </c>
      <c r="Q57" s="79"/>
    </row>
    <row r="58" spans="1:17" x14ac:dyDescent="0.25">
      <c r="A58" s="122" t="str">
        <f>BillEstimator!D21</f>
        <v>None</v>
      </c>
      <c r="B58" s="122" t="str">
        <f>IF(A58="None","none",VLOOKUP(A58,H4:I16,2,FALSE))</f>
        <v>none</v>
      </c>
      <c r="C58" s="122">
        <f>IF(B58="none",0,VLOOKUP($A$59,$A$43:$N$55,$B$58,FALSE))</f>
        <v>0</v>
      </c>
    </row>
    <row r="59" spans="1:17" x14ac:dyDescent="0.25">
      <c r="A59" s="122" t="str">
        <f>BillEstimator!$D$19</f>
        <v>12+</v>
      </c>
    </row>
    <row r="60" spans="1:17" ht="15.75" thickBot="1" x14ac:dyDescent="0.3"/>
    <row r="61" spans="1:17" ht="15.75" thickBot="1" x14ac:dyDescent="0.3">
      <c r="B61" s="73" t="s">
        <v>95</v>
      </c>
      <c r="C61" s="82"/>
      <c r="D61" s="82"/>
      <c r="E61" s="82"/>
      <c r="F61" s="82"/>
      <c r="G61" s="83"/>
      <c r="I61" s="73" t="s">
        <v>89</v>
      </c>
      <c r="J61" s="82"/>
      <c r="K61" s="82"/>
      <c r="L61" s="82"/>
      <c r="M61" s="82"/>
      <c r="N61" s="83"/>
    </row>
    <row r="62" spans="1:17" ht="16.5" x14ac:dyDescent="0.35">
      <c r="B62" s="109" t="s">
        <v>69</v>
      </c>
      <c r="C62" s="107" t="s">
        <v>70</v>
      </c>
      <c r="D62" s="102" t="s">
        <v>71</v>
      </c>
      <c r="E62" s="102"/>
      <c r="F62" s="102"/>
      <c r="G62" s="115" t="s">
        <v>74</v>
      </c>
      <c r="I62" s="109" t="s">
        <v>69</v>
      </c>
      <c r="J62" s="107" t="s">
        <v>70</v>
      </c>
      <c r="K62" s="102" t="s">
        <v>71</v>
      </c>
      <c r="L62" s="102"/>
      <c r="M62" s="102"/>
      <c r="N62" s="115" t="s">
        <v>74</v>
      </c>
    </row>
    <row r="63" spans="1:17" ht="15.75" thickBot="1" x14ac:dyDescent="0.3">
      <c r="A63" s="119" t="s">
        <v>7</v>
      </c>
      <c r="B63" s="110"/>
      <c r="C63" s="108"/>
      <c r="D63" s="113" t="s">
        <v>87</v>
      </c>
      <c r="E63" s="113" t="s">
        <v>72</v>
      </c>
      <c r="F63" s="113" t="s">
        <v>73</v>
      </c>
      <c r="G63" s="116"/>
      <c r="I63" s="110"/>
      <c r="J63" s="108"/>
      <c r="K63" s="113" t="s">
        <v>87</v>
      </c>
      <c r="L63" s="113" t="s">
        <v>72</v>
      </c>
      <c r="M63" s="113" t="s">
        <v>73</v>
      </c>
      <c r="N63" s="116"/>
    </row>
    <row r="64" spans="1:17" x14ac:dyDescent="0.25">
      <c r="A64" s="139" t="s">
        <v>8</v>
      </c>
      <c r="B64" s="140">
        <v>1789</v>
      </c>
      <c r="C64" s="141">
        <v>368</v>
      </c>
      <c r="D64" s="142">
        <v>715.6</v>
      </c>
      <c r="E64" s="142">
        <v>1073.4000000000001</v>
      </c>
      <c r="F64" s="142">
        <v>1431.2</v>
      </c>
      <c r="G64" s="143">
        <v>1021</v>
      </c>
      <c r="I64" s="111">
        <f>B64/4</f>
        <v>447.25</v>
      </c>
      <c r="J64" s="112">
        <f t="shared" ref="J64:J75" si="7">C64/4</f>
        <v>92</v>
      </c>
      <c r="K64" s="114">
        <f t="shared" ref="K64:K75" si="8">D64/4</f>
        <v>178.9</v>
      </c>
      <c r="L64" s="114">
        <f t="shared" ref="L64:L75" si="9">E64/4</f>
        <v>268.35000000000002</v>
      </c>
      <c r="M64" s="114">
        <f t="shared" ref="M64:M75" si="10">F64/4</f>
        <v>357.8</v>
      </c>
      <c r="N64" s="117">
        <f t="shared" ref="N64:N75" si="11">G64/4</f>
        <v>255.25</v>
      </c>
    </row>
    <row r="65" spans="1:14" x14ac:dyDescent="0.25">
      <c r="A65" s="144">
        <v>11</v>
      </c>
      <c r="B65" s="140">
        <v>1341.75</v>
      </c>
      <c r="C65" s="141">
        <v>275</v>
      </c>
      <c r="D65" s="142">
        <v>536.70000000000005</v>
      </c>
      <c r="E65" s="142">
        <v>805.05</v>
      </c>
      <c r="F65" s="142">
        <v>1073.4000000000001</v>
      </c>
      <c r="G65" s="143">
        <v>765</v>
      </c>
      <c r="I65" s="111">
        <f t="shared" ref="I65:I75" si="12">B65/4</f>
        <v>335.4375</v>
      </c>
      <c r="J65" s="112">
        <f t="shared" si="7"/>
        <v>68.75</v>
      </c>
      <c r="K65" s="114">
        <f t="shared" si="8"/>
        <v>134.17500000000001</v>
      </c>
      <c r="L65" s="114">
        <f t="shared" si="9"/>
        <v>201.26249999999999</v>
      </c>
      <c r="M65" s="114">
        <f t="shared" si="10"/>
        <v>268.35000000000002</v>
      </c>
      <c r="N65" s="117">
        <f t="shared" si="11"/>
        <v>191.25</v>
      </c>
    </row>
    <row r="66" spans="1:14" x14ac:dyDescent="0.25">
      <c r="A66" s="138">
        <f>A65-1</f>
        <v>10</v>
      </c>
      <c r="B66" s="134">
        <v>1341.75</v>
      </c>
      <c r="C66" s="135">
        <v>275</v>
      </c>
      <c r="D66" s="136">
        <v>536.70000000000005</v>
      </c>
      <c r="E66" s="136">
        <v>805.05</v>
      </c>
      <c r="F66" s="136">
        <v>1073.4000000000001</v>
      </c>
      <c r="G66" s="137">
        <v>765</v>
      </c>
      <c r="I66" s="111">
        <f t="shared" si="12"/>
        <v>335.4375</v>
      </c>
      <c r="J66" s="112">
        <f t="shared" si="7"/>
        <v>68.75</v>
      </c>
      <c r="K66" s="114">
        <f t="shared" si="8"/>
        <v>134.17500000000001</v>
      </c>
      <c r="L66" s="114">
        <f t="shared" si="9"/>
        <v>201.26249999999999</v>
      </c>
      <c r="M66" s="114">
        <f t="shared" si="10"/>
        <v>268.35000000000002</v>
      </c>
      <c r="N66" s="117">
        <f t="shared" si="11"/>
        <v>191.25</v>
      </c>
    </row>
    <row r="67" spans="1:14" x14ac:dyDescent="0.25">
      <c r="A67" s="138">
        <f t="shared" ref="A67:A76" si="13">A66-1</f>
        <v>9</v>
      </c>
      <c r="B67" s="134">
        <v>1341.75</v>
      </c>
      <c r="C67" s="135">
        <v>275</v>
      </c>
      <c r="D67" s="136">
        <v>536.70000000000005</v>
      </c>
      <c r="E67" s="136">
        <v>805.05</v>
      </c>
      <c r="F67" s="136">
        <v>1073.4000000000001</v>
      </c>
      <c r="G67" s="137">
        <v>765</v>
      </c>
      <c r="I67" s="111">
        <f t="shared" si="12"/>
        <v>335.4375</v>
      </c>
      <c r="J67" s="112">
        <f t="shared" si="7"/>
        <v>68.75</v>
      </c>
      <c r="K67" s="114">
        <f t="shared" si="8"/>
        <v>134.17500000000001</v>
      </c>
      <c r="L67" s="114">
        <f t="shared" si="9"/>
        <v>201.26249999999999</v>
      </c>
      <c r="M67" s="114">
        <f t="shared" si="10"/>
        <v>268.35000000000002</v>
      </c>
      <c r="N67" s="117">
        <f t="shared" si="11"/>
        <v>191.25</v>
      </c>
    </row>
    <row r="68" spans="1:14" x14ac:dyDescent="0.25">
      <c r="A68" s="144">
        <f t="shared" si="13"/>
        <v>8</v>
      </c>
      <c r="B68" s="140">
        <v>894.5</v>
      </c>
      <c r="C68" s="141">
        <v>183</v>
      </c>
      <c r="D68" s="142">
        <v>357.8</v>
      </c>
      <c r="E68" s="142">
        <v>536.70000000000005</v>
      </c>
      <c r="F68" s="142">
        <v>715.6</v>
      </c>
      <c r="G68" s="143">
        <v>508</v>
      </c>
      <c r="I68" s="111">
        <f t="shared" si="12"/>
        <v>223.625</v>
      </c>
      <c r="J68" s="112">
        <f t="shared" si="7"/>
        <v>45.75</v>
      </c>
      <c r="K68" s="114">
        <f t="shared" si="8"/>
        <v>89.45</v>
      </c>
      <c r="L68" s="114">
        <f t="shared" si="9"/>
        <v>134.17500000000001</v>
      </c>
      <c r="M68" s="114">
        <f t="shared" si="10"/>
        <v>178.9</v>
      </c>
      <c r="N68" s="117">
        <f t="shared" si="11"/>
        <v>127</v>
      </c>
    </row>
    <row r="69" spans="1:14" x14ac:dyDescent="0.25">
      <c r="A69" s="138">
        <f t="shared" si="13"/>
        <v>7</v>
      </c>
      <c r="B69" s="134">
        <v>894.5</v>
      </c>
      <c r="C69" s="135">
        <v>183</v>
      </c>
      <c r="D69" s="136">
        <v>357.8</v>
      </c>
      <c r="E69" s="136">
        <v>536.70000000000005</v>
      </c>
      <c r="F69" s="136">
        <v>715.6</v>
      </c>
      <c r="G69" s="137">
        <v>508</v>
      </c>
      <c r="I69" s="111">
        <f t="shared" si="12"/>
        <v>223.625</v>
      </c>
      <c r="J69" s="112">
        <f t="shared" si="7"/>
        <v>45.75</v>
      </c>
      <c r="K69" s="114">
        <f t="shared" si="8"/>
        <v>89.45</v>
      </c>
      <c r="L69" s="114">
        <f t="shared" si="9"/>
        <v>134.17500000000001</v>
      </c>
      <c r="M69" s="114">
        <f t="shared" si="10"/>
        <v>178.9</v>
      </c>
      <c r="N69" s="117">
        <f t="shared" si="11"/>
        <v>127</v>
      </c>
    </row>
    <row r="70" spans="1:14" x14ac:dyDescent="0.25">
      <c r="A70" s="138">
        <f t="shared" si="13"/>
        <v>6</v>
      </c>
      <c r="B70" s="134">
        <v>894.5</v>
      </c>
      <c r="C70" s="135">
        <v>183</v>
      </c>
      <c r="D70" s="136">
        <v>357.8</v>
      </c>
      <c r="E70" s="136">
        <v>536.70000000000005</v>
      </c>
      <c r="F70" s="136">
        <v>715.6</v>
      </c>
      <c r="G70" s="137">
        <v>508</v>
      </c>
      <c r="I70" s="111">
        <f t="shared" si="12"/>
        <v>223.625</v>
      </c>
      <c r="J70" s="112">
        <f t="shared" si="7"/>
        <v>45.75</v>
      </c>
      <c r="K70" s="114">
        <f t="shared" si="8"/>
        <v>89.45</v>
      </c>
      <c r="L70" s="114">
        <f t="shared" si="9"/>
        <v>134.17500000000001</v>
      </c>
      <c r="M70" s="114">
        <f t="shared" si="10"/>
        <v>178.9</v>
      </c>
      <c r="N70" s="117">
        <f t="shared" si="11"/>
        <v>127</v>
      </c>
    </row>
    <row r="71" spans="1:14" x14ac:dyDescent="0.25">
      <c r="A71" s="144">
        <f t="shared" si="13"/>
        <v>5</v>
      </c>
      <c r="B71" s="140">
        <v>894.5</v>
      </c>
      <c r="C71" s="141">
        <v>92</v>
      </c>
      <c r="D71" s="142">
        <v>357.8</v>
      </c>
      <c r="E71" s="142">
        <v>536.70000000000005</v>
      </c>
      <c r="F71" s="142">
        <v>715.6</v>
      </c>
      <c r="G71" s="143">
        <v>508</v>
      </c>
      <c r="I71" s="111">
        <f t="shared" si="12"/>
        <v>223.625</v>
      </c>
      <c r="J71" s="112">
        <f t="shared" si="7"/>
        <v>23</v>
      </c>
      <c r="K71" s="114">
        <f t="shared" si="8"/>
        <v>89.45</v>
      </c>
      <c r="L71" s="114">
        <f t="shared" si="9"/>
        <v>134.17500000000001</v>
      </c>
      <c r="M71" s="114">
        <f t="shared" si="10"/>
        <v>178.9</v>
      </c>
      <c r="N71" s="117">
        <f t="shared" si="11"/>
        <v>127</v>
      </c>
    </row>
    <row r="72" spans="1:14" x14ac:dyDescent="0.25">
      <c r="A72" s="138">
        <f t="shared" si="13"/>
        <v>4</v>
      </c>
      <c r="B72" s="134">
        <v>894.5</v>
      </c>
      <c r="C72" s="135">
        <v>92</v>
      </c>
      <c r="D72" s="136">
        <v>357.8</v>
      </c>
      <c r="E72" s="136">
        <v>536.70000000000005</v>
      </c>
      <c r="F72" s="136">
        <v>715.6</v>
      </c>
      <c r="G72" s="137">
        <v>508</v>
      </c>
      <c r="I72" s="111">
        <f t="shared" si="12"/>
        <v>223.625</v>
      </c>
      <c r="J72" s="112">
        <f t="shared" si="7"/>
        <v>23</v>
      </c>
      <c r="K72" s="114">
        <f t="shared" si="8"/>
        <v>89.45</v>
      </c>
      <c r="L72" s="114">
        <f t="shared" si="9"/>
        <v>134.17500000000001</v>
      </c>
      <c r="M72" s="114">
        <f t="shared" si="10"/>
        <v>178.9</v>
      </c>
      <c r="N72" s="117">
        <f t="shared" si="11"/>
        <v>127</v>
      </c>
    </row>
    <row r="73" spans="1:14" x14ac:dyDescent="0.25">
      <c r="A73" s="144">
        <f t="shared" si="13"/>
        <v>3</v>
      </c>
      <c r="B73" s="140">
        <v>447.25</v>
      </c>
      <c r="C73" s="141">
        <v>92</v>
      </c>
      <c r="D73" s="142">
        <v>178.9</v>
      </c>
      <c r="E73" s="142">
        <v>268.35000000000002</v>
      </c>
      <c r="F73" s="142">
        <v>357.8</v>
      </c>
      <c r="G73" s="143">
        <v>255.25</v>
      </c>
      <c r="I73" s="111">
        <f t="shared" si="12"/>
        <v>111.8125</v>
      </c>
      <c r="J73" s="112">
        <f t="shared" si="7"/>
        <v>23</v>
      </c>
      <c r="K73" s="114">
        <f t="shared" si="8"/>
        <v>44.725000000000001</v>
      </c>
      <c r="L73" s="114">
        <f t="shared" si="9"/>
        <v>67.087500000000006</v>
      </c>
      <c r="M73" s="114">
        <f t="shared" si="10"/>
        <v>89.45</v>
      </c>
      <c r="N73" s="117">
        <f>G73/4</f>
        <v>63.8125</v>
      </c>
    </row>
    <row r="74" spans="1:14" x14ac:dyDescent="0.25">
      <c r="A74" s="138">
        <f t="shared" si="13"/>
        <v>2</v>
      </c>
      <c r="B74" s="134">
        <v>447.25</v>
      </c>
      <c r="C74" s="135">
        <v>92</v>
      </c>
      <c r="D74" s="136">
        <v>178.9</v>
      </c>
      <c r="E74" s="136">
        <v>268.35000000000002</v>
      </c>
      <c r="F74" s="136">
        <v>357.8</v>
      </c>
      <c r="G74" s="137">
        <v>255.25</v>
      </c>
      <c r="I74" s="111">
        <f t="shared" si="12"/>
        <v>111.8125</v>
      </c>
      <c r="J74" s="112">
        <f t="shared" si="7"/>
        <v>23</v>
      </c>
      <c r="K74" s="114">
        <f t="shared" si="8"/>
        <v>44.725000000000001</v>
      </c>
      <c r="L74" s="114">
        <f t="shared" si="9"/>
        <v>67.087500000000006</v>
      </c>
      <c r="M74" s="114">
        <f t="shared" si="10"/>
        <v>89.45</v>
      </c>
      <c r="N74" s="117">
        <f t="shared" si="11"/>
        <v>63.8125</v>
      </c>
    </row>
    <row r="75" spans="1:14" x14ac:dyDescent="0.25">
      <c r="A75" s="138">
        <f t="shared" si="13"/>
        <v>1</v>
      </c>
      <c r="B75" s="134">
        <v>447.25</v>
      </c>
      <c r="C75" s="135">
        <v>92</v>
      </c>
      <c r="D75" s="136">
        <v>178.9</v>
      </c>
      <c r="E75" s="136">
        <v>268.35000000000002</v>
      </c>
      <c r="F75" s="136">
        <v>357.8</v>
      </c>
      <c r="G75" s="137">
        <v>255.25</v>
      </c>
      <c r="I75" s="111">
        <f t="shared" si="12"/>
        <v>111.8125</v>
      </c>
      <c r="J75" s="112">
        <f t="shared" si="7"/>
        <v>23</v>
      </c>
      <c r="K75" s="114">
        <f t="shared" si="8"/>
        <v>44.725000000000001</v>
      </c>
      <c r="L75" s="114">
        <f t="shared" si="9"/>
        <v>67.087500000000006</v>
      </c>
      <c r="M75" s="114">
        <f t="shared" si="10"/>
        <v>89.45</v>
      </c>
      <c r="N75" s="117">
        <f t="shared" si="11"/>
        <v>63.8125</v>
      </c>
    </row>
    <row r="76" spans="1:14" x14ac:dyDescent="0.25">
      <c r="A76" s="138">
        <f t="shared" si="13"/>
        <v>0</v>
      </c>
      <c r="B76" s="134">
        <v>0</v>
      </c>
      <c r="C76" s="135">
        <v>0</v>
      </c>
      <c r="D76" s="136">
        <v>0</v>
      </c>
      <c r="E76" s="136">
        <v>0</v>
      </c>
      <c r="F76" s="136">
        <v>0</v>
      </c>
      <c r="G76" s="137">
        <v>0</v>
      </c>
      <c r="I76" s="111">
        <v>0</v>
      </c>
      <c r="J76" s="112">
        <v>0</v>
      </c>
      <c r="K76" s="114">
        <v>0</v>
      </c>
      <c r="L76" s="114">
        <v>0</v>
      </c>
      <c r="M76" s="114">
        <v>0</v>
      </c>
      <c r="N76" s="117">
        <v>0</v>
      </c>
    </row>
    <row r="78" spans="1:14" x14ac:dyDescent="0.25">
      <c r="B78" s="133"/>
    </row>
    <row r="79" spans="1:14" x14ac:dyDescent="0.25">
      <c r="G79" s="72" t="s">
        <v>116</v>
      </c>
    </row>
    <row r="80" spans="1:14" x14ac:dyDescent="0.25">
      <c r="B80" s="72" t="s">
        <v>100</v>
      </c>
      <c r="G80" s="161">
        <v>42408</v>
      </c>
    </row>
  </sheetData>
  <sortState ref="G4:G14">
    <sortCondition descending="1" ref="G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BillEstimator</vt:lpstr>
      <vt:lpstr>Validation</vt:lpstr>
      <vt:lpstr>BillEstimator!Print_Area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vukmancm</cp:lastModifiedBy>
  <cp:lastPrinted>2016-04-08T20:07:44Z</cp:lastPrinted>
  <dcterms:created xsi:type="dcterms:W3CDTF">2013-03-06T16:14:08Z</dcterms:created>
  <dcterms:modified xsi:type="dcterms:W3CDTF">2016-07-15T20:02:15Z</dcterms:modified>
</cp:coreProperties>
</file>